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12th HRC, 2020\"/>
    </mc:Choice>
  </mc:AlternateContent>
  <bookViews>
    <workbookView xWindow="0" yWindow="0" windowWidth="9144" windowHeight="5640" firstSheet="6" activeTab="6"/>
  </bookViews>
  <sheets>
    <sheet name="compilation" sheetId="1" state="hidden" r:id="rId1"/>
    <sheet name="senority" sheetId="2" state="hidden" r:id="rId2"/>
    <sheet name="Short list" sheetId="4" state="hidden" r:id="rId3"/>
    <sheet name="Sheet1" sheetId="5" state="hidden" r:id="rId4"/>
    <sheet name="shortlist" sheetId="6" state="hidden" r:id="rId5"/>
    <sheet name="July intake 2020" sheetId="7" state="hidden" r:id="rId6"/>
    <sheet name="Shortlist " sheetId="8" r:id="rId7"/>
  </sheets>
  <calcPr calcId="152511"/>
</workbook>
</file>

<file path=xl/calcChain.xml><?xml version="1.0" encoding="utf-8"?>
<calcChain xmlns="http://schemas.openxmlformats.org/spreadsheetml/2006/main">
  <c r="Q19" i="7" l="1"/>
  <c r="Q18" i="7"/>
  <c r="Q17" i="7"/>
  <c r="Q14" i="7"/>
  <c r="Q13" i="7"/>
  <c r="Q11" i="7"/>
  <c r="Q9" i="7"/>
  <c r="Q8" i="7"/>
  <c r="Q4" i="7"/>
  <c r="E8" i="5" l="1"/>
  <c r="F8" i="5" s="1"/>
  <c r="G8" i="5" s="1"/>
  <c r="L56" i="4" l="1"/>
  <c r="M56" i="4" s="1"/>
  <c r="J56" i="4"/>
  <c r="I56" i="4"/>
  <c r="L54" i="4"/>
  <c r="M54" i="4" s="1"/>
  <c r="J54" i="4"/>
  <c r="I54" i="4"/>
  <c r="L52" i="4"/>
  <c r="M52" i="4" s="1"/>
  <c r="J52" i="4"/>
  <c r="I52" i="4"/>
  <c r="L51" i="4"/>
  <c r="M51" i="4" s="1"/>
  <c r="J51" i="4"/>
  <c r="I51" i="4"/>
  <c r="L49" i="4"/>
  <c r="M49" i="4" s="1"/>
  <c r="L47" i="4"/>
  <c r="M47" i="4" s="1"/>
  <c r="J47" i="4"/>
  <c r="I47" i="4"/>
  <c r="M45" i="4"/>
  <c r="J45" i="4"/>
  <c r="I45" i="4"/>
  <c r="M43" i="4"/>
  <c r="J43" i="4"/>
  <c r="I43" i="4"/>
  <c r="L42" i="4"/>
  <c r="M42" i="4" s="1"/>
  <c r="J42" i="4"/>
  <c r="I42" i="4"/>
  <c r="L37" i="4"/>
  <c r="M37" i="4" s="1"/>
  <c r="J37" i="4"/>
  <c r="I37" i="4"/>
  <c r="K37" i="4" s="1"/>
  <c r="L36" i="4"/>
  <c r="M36" i="4" s="1"/>
  <c r="J36" i="4"/>
  <c r="I36" i="4"/>
  <c r="L35" i="4"/>
  <c r="M35" i="4" s="1"/>
  <c r="J35" i="4"/>
  <c r="I35" i="4"/>
  <c r="M33" i="4"/>
  <c r="J33" i="4"/>
  <c r="I33" i="4"/>
  <c r="M32" i="4"/>
  <c r="J32" i="4"/>
  <c r="I32" i="4"/>
  <c r="M31" i="4"/>
  <c r="J31" i="4"/>
  <c r="I31" i="4"/>
  <c r="M30" i="4"/>
  <c r="J30" i="4"/>
  <c r="I30" i="4"/>
  <c r="K30" i="4" s="1"/>
  <c r="L29" i="4"/>
  <c r="M29" i="4" s="1"/>
  <c r="J29" i="4"/>
  <c r="I29" i="4"/>
  <c r="M28" i="4"/>
  <c r="J28" i="4"/>
  <c r="I28" i="4"/>
  <c r="K28" i="4" s="1"/>
  <c r="M27" i="4"/>
  <c r="J27" i="4"/>
  <c r="I27" i="4"/>
  <c r="M26" i="4"/>
  <c r="J26" i="4"/>
  <c r="I26" i="4"/>
  <c r="M25" i="4"/>
  <c r="J25" i="4"/>
  <c r="I25" i="4"/>
  <c r="M23" i="4"/>
  <c r="J23" i="4"/>
  <c r="I23" i="4"/>
  <c r="L22" i="4"/>
  <c r="M22" i="4" s="1"/>
  <c r="J22" i="4"/>
  <c r="I22" i="4"/>
  <c r="M20" i="4"/>
  <c r="J20" i="4"/>
  <c r="I20" i="4"/>
  <c r="M19" i="4"/>
  <c r="J19" i="4"/>
  <c r="I19" i="4"/>
  <c r="M17" i="4"/>
  <c r="J17" i="4"/>
  <c r="I17" i="4"/>
  <c r="L14" i="4"/>
  <c r="M14" i="4" s="1"/>
  <c r="J14" i="4"/>
  <c r="I14" i="4"/>
  <c r="M11" i="4"/>
  <c r="J11" i="4"/>
  <c r="I11" i="4"/>
  <c r="L10" i="4"/>
  <c r="M10" i="4" s="1"/>
  <c r="J10" i="4"/>
  <c r="I10" i="4"/>
  <c r="M8" i="4"/>
  <c r="J8" i="4"/>
  <c r="I8" i="4"/>
  <c r="M7" i="4"/>
  <c r="J7" i="4"/>
  <c r="I7" i="4"/>
  <c r="K7" i="4" s="1"/>
  <c r="M6" i="4"/>
  <c r="J6" i="4"/>
  <c r="I6" i="4"/>
  <c r="K6" i="4" s="1"/>
  <c r="M5" i="4"/>
  <c r="J5" i="4"/>
  <c r="I5" i="4"/>
  <c r="M4" i="4"/>
  <c r="J4" i="4"/>
  <c r="I4" i="4"/>
  <c r="K27" i="4" l="1"/>
  <c r="Q27" i="4" s="1"/>
  <c r="K29" i="4"/>
  <c r="K56" i="4"/>
  <c r="Q56" i="4" s="1"/>
  <c r="K8" i="4"/>
  <c r="K32" i="4"/>
  <c r="Q32" i="4" s="1"/>
  <c r="K52" i="4"/>
  <c r="Q52" i="4" s="1"/>
  <c r="Q37" i="4"/>
  <c r="K10" i="4"/>
  <c r="Q10" i="4" s="1"/>
  <c r="K11" i="4"/>
  <c r="Q11" i="4" s="1"/>
  <c r="K20" i="4"/>
  <c r="Q20" i="4" s="1"/>
  <c r="K31" i="4"/>
  <c r="Q31" i="4" s="1"/>
  <c r="K45" i="4"/>
  <c r="Q45" i="4" s="1"/>
  <c r="K51" i="4"/>
  <c r="Q51" i="4" s="1"/>
  <c r="K54" i="4"/>
  <c r="Q54" i="4" s="1"/>
  <c r="K14" i="4"/>
  <c r="Q14" i="4" s="1"/>
  <c r="K17" i="4"/>
  <c r="Q17" i="4" s="1"/>
  <c r="K23" i="4"/>
  <c r="Q23" i="4" s="1"/>
  <c r="K33" i="4"/>
  <c r="Q33" i="4" s="1"/>
  <c r="K19" i="4"/>
  <c r="Q19" i="4" s="1"/>
  <c r="K35" i="4"/>
  <c r="Q35" i="4" s="1"/>
  <c r="K43" i="4"/>
  <c r="Q43" i="4" s="1"/>
  <c r="K4" i="4"/>
  <c r="Q4" i="4" s="1"/>
  <c r="Q6" i="4"/>
  <c r="K22" i="4"/>
  <c r="Q22" i="4" s="1"/>
  <c r="K25" i="4"/>
  <c r="Q25" i="4" s="1"/>
  <c r="Q28" i="4"/>
  <c r="Q30" i="4"/>
  <c r="K36" i="4"/>
  <c r="Q36" i="4" s="1"/>
  <c r="K42" i="4"/>
  <c r="Q42" i="4" s="1"/>
  <c r="K47" i="4"/>
  <c r="Q47" i="4" s="1"/>
  <c r="K5" i="4"/>
  <c r="Q5" i="4" s="1"/>
  <c r="K26" i="4"/>
  <c r="Q26" i="4" s="1"/>
  <c r="Q7" i="4"/>
  <c r="Q8" i="4"/>
  <c r="Q29" i="4"/>
</calcChain>
</file>

<file path=xl/sharedStrings.xml><?xml version="1.0" encoding="utf-8"?>
<sst xmlns="http://schemas.openxmlformats.org/spreadsheetml/2006/main" count="868" uniqueCount="400">
  <si>
    <t>Sl#</t>
  </si>
  <si>
    <t>Name</t>
  </si>
  <si>
    <t>EID</t>
  </si>
  <si>
    <t>DoB</t>
  </si>
  <si>
    <t>Date of Appointment</t>
  </si>
  <si>
    <t>Designation</t>
  </si>
  <si>
    <t>Hospital</t>
  </si>
  <si>
    <t>Remarks on docuemts</t>
  </si>
  <si>
    <t xml:space="preserve">Academic </t>
  </si>
  <si>
    <t>Academic (30%) A</t>
  </si>
  <si>
    <t>PR</t>
  </si>
  <si>
    <t>PR (15%) B</t>
  </si>
  <si>
    <t xml:space="preserve">No.of Yrs in the service </t>
  </si>
  <si>
    <t>Interview (50%)</t>
  </si>
  <si>
    <t>Score (100%)</t>
  </si>
  <si>
    <t>Remarks</t>
  </si>
  <si>
    <t>Degree</t>
  </si>
  <si>
    <t xml:space="preserve"> Certificate/class XII  50%</t>
  </si>
  <si>
    <t>Mr. Sonam Yoezer</t>
  </si>
  <si>
    <t>Clinical Nurse</t>
  </si>
  <si>
    <t>JDWNRH</t>
  </si>
  <si>
    <t>completed</t>
  </si>
  <si>
    <t>Mr. Tshering Namgay</t>
  </si>
  <si>
    <t>Dr. Jigme Dorji</t>
  </si>
  <si>
    <t>GDMO</t>
  </si>
  <si>
    <t>Mr. Sonam Gyeltshen</t>
  </si>
  <si>
    <t>10 Nov. 1988</t>
  </si>
  <si>
    <t>Ms. Rachna Pradhan</t>
  </si>
  <si>
    <t>Ms. Yangden</t>
  </si>
  <si>
    <t>Nurse In-charge</t>
  </si>
  <si>
    <t>Ms. Karma Lhaki</t>
  </si>
  <si>
    <t>Sr. Physiotherapist</t>
  </si>
  <si>
    <t>Dr. Suresh Chandra Mothey</t>
  </si>
  <si>
    <t>Sr. Medical Officer</t>
  </si>
  <si>
    <t>Mr. Karma Phuntsho</t>
  </si>
  <si>
    <t>Dy. Chief Physiotherapist</t>
  </si>
  <si>
    <t>Mr. Tshering Norbu</t>
  </si>
  <si>
    <t>17 Dec. 1979</t>
  </si>
  <si>
    <t>Chief Physiotherapist</t>
  </si>
  <si>
    <t>Dr. Tshering Penjor</t>
  </si>
  <si>
    <t>Radio Technologist</t>
  </si>
  <si>
    <t>Masters in General Surgery (KGUMSB) 2 slots</t>
  </si>
  <si>
    <t>Masters in Gynaecology (KGUMSB) 2 slots</t>
  </si>
  <si>
    <t>Masters in Internal Medicine (KGUMSB) 2 slots</t>
  </si>
  <si>
    <t>Masters in Pediatric (KGUMSB) 2 slots</t>
  </si>
  <si>
    <t>Masters in Emergency Medicine (KGUMSB) 2 slots</t>
  </si>
  <si>
    <t>Masters in Orthopedic Surgery (KGUMSB) 2 slots</t>
  </si>
  <si>
    <t>Masters in General Practicioner (KGUMSB) 2 slots</t>
  </si>
  <si>
    <t>Master in Psysiotherapy (Orthopedic ) 1 slot</t>
  </si>
  <si>
    <t>Master in Palliative Nursing 1 slot</t>
  </si>
  <si>
    <t>Masters in Oncology Nursing 1 slot</t>
  </si>
  <si>
    <t>Fellowship in Onco-surgery 1 slot</t>
  </si>
  <si>
    <t>Fellowship in Interventional Cardiology 1 slot</t>
  </si>
  <si>
    <t>Fellowship in Neonatology 1 slot</t>
  </si>
  <si>
    <t>Fellowship in Retina Specialist 1 slot</t>
  </si>
  <si>
    <t>Medical Physicist 1 slot</t>
  </si>
  <si>
    <t>Dr. Sonam Yeshi</t>
  </si>
  <si>
    <t>T/gang Hospital</t>
  </si>
  <si>
    <t>Dr. Sonam Choki</t>
  </si>
  <si>
    <t>Dr. Abhisek Pradhan</t>
  </si>
  <si>
    <t>1 Feb. 1992</t>
  </si>
  <si>
    <t>Panbang BHU</t>
  </si>
  <si>
    <t>Damphu Hospital</t>
  </si>
  <si>
    <t>13 Aug. 1992</t>
  </si>
  <si>
    <t>Chukha BHU</t>
  </si>
  <si>
    <t>MRRH</t>
  </si>
  <si>
    <t>Dr. Tulsi Ram Sharma</t>
  </si>
  <si>
    <t>Paediarician</t>
  </si>
  <si>
    <t>Dr. Phuntsho Dorji</t>
  </si>
  <si>
    <t>1 Aug. 1982</t>
  </si>
  <si>
    <t>Opthalmologist</t>
  </si>
  <si>
    <t>Dr. Sonam Youden</t>
  </si>
  <si>
    <t>Gomtu Hospital</t>
  </si>
  <si>
    <t>Dr. Tshetem Wangchuk</t>
  </si>
  <si>
    <t>4 Aug. 1987</t>
  </si>
  <si>
    <t>Paro Hospital</t>
  </si>
  <si>
    <t>Gelephu CRRH</t>
  </si>
  <si>
    <t>Dr. Sherab Wangdi</t>
  </si>
  <si>
    <t>6 Dec. 1989</t>
  </si>
  <si>
    <t>Dr. Tandi Wangdi</t>
  </si>
  <si>
    <t>Dr. Sangay Wangmo</t>
  </si>
  <si>
    <t>HM Secretrait</t>
  </si>
  <si>
    <t>15 Feb. 1992</t>
  </si>
  <si>
    <t>Dr. Nim Dorji</t>
  </si>
  <si>
    <t>26 Feb. 1991</t>
  </si>
  <si>
    <t>Dr. Prabhat Pradhan</t>
  </si>
  <si>
    <t>1 Oct. 1974</t>
  </si>
  <si>
    <t>Surgeon</t>
  </si>
  <si>
    <t>Dr. Sandip Tamang</t>
  </si>
  <si>
    <t>Dr. Tashi Dorji</t>
  </si>
  <si>
    <t>13 Oct. 1990</t>
  </si>
  <si>
    <t>Gidakom Hosptial</t>
  </si>
  <si>
    <t>Dr. Karma Lhaden</t>
  </si>
  <si>
    <t>Lhamoizingkha BHU</t>
  </si>
  <si>
    <t>Dr. Chencho Gem</t>
  </si>
  <si>
    <t>Sipsu BHU</t>
  </si>
  <si>
    <t>Dr. Nima Phuntsho</t>
  </si>
  <si>
    <t>Dagana Hospital</t>
  </si>
  <si>
    <t>Dr. Adwitya Powdyle</t>
  </si>
  <si>
    <t>1 Jan. 2017</t>
  </si>
  <si>
    <t>Gyelpozhing BHU</t>
  </si>
  <si>
    <t>Ms. Sonam Choden</t>
  </si>
  <si>
    <t>Masters in Dermatology Ex-country 1 slot</t>
  </si>
  <si>
    <t>Dr. Tshering Choden</t>
  </si>
  <si>
    <t>21 Sept. 1986</t>
  </si>
  <si>
    <t xml:space="preserve">Mr. Kuenzang </t>
  </si>
  <si>
    <t>Dewathang Minitary Hosptial</t>
  </si>
  <si>
    <t>Dr. Sonam Pelmo</t>
  </si>
  <si>
    <t>28 Nov. 1988</t>
  </si>
  <si>
    <t>1 Jan. 2015</t>
  </si>
  <si>
    <t>I July 2017</t>
  </si>
  <si>
    <t>Kidu Medical Unit</t>
  </si>
  <si>
    <t>11 Aug. 1985</t>
  </si>
  <si>
    <t>1 Jan. 2014</t>
  </si>
  <si>
    <t>Dr. Tandin Om</t>
  </si>
  <si>
    <t>Gasa BHU I</t>
  </si>
  <si>
    <t>not eligible as per BCSR 2018</t>
  </si>
  <si>
    <t>1 years, 8 months, and 30 days</t>
  </si>
  <si>
    <t>8 months, and 30 days</t>
  </si>
  <si>
    <t>3 years, 2 months, and 30 days</t>
  </si>
  <si>
    <t>4 years, 2 months, and 30 days</t>
  </si>
  <si>
    <t>1 years, 2 months, and 30 days</t>
  </si>
  <si>
    <t>2 years, 8 months, and 30 days</t>
  </si>
  <si>
    <t>8 years, 2 months, and 30 days</t>
  </si>
  <si>
    <t>12 years, 2 months, and 30 days</t>
  </si>
  <si>
    <t>13 years, 2 months, and 30 days</t>
  </si>
  <si>
    <t>2 years, 2 months, and 30 days</t>
  </si>
  <si>
    <t>21 years, 2 months, and 30 days</t>
  </si>
  <si>
    <t>5 years, 2 months, and 30 days</t>
  </si>
  <si>
    <t>9 years 2 months</t>
  </si>
  <si>
    <t>1 year 3 months</t>
  </si>
  <si>
    <t>Calculation for seniority for Long Term courses</t>
  </si>
  <si>
    <t>Seniority rating for other than Doctors and RCSC non-select:</t>
  </si>
  <si>
    <t>Seniority rating for RCSC selected graduates</t>
  </si>
  <si>
    <t>5+ to 6 yrs=0.5</t>
  </si>
  <si>
    <t>3+ to 4 yrs=0.5</t>
  </si>
  <si>
    <t>Senority calcuation</t>
  </si>
  <si>
    <t>6+ to 7 yrs=1</t>
  </si>
  <si>
    <t>4+ to 5 yrs=1</t>
  </si>
  <si>
    <t>7+ to 8 yrs=1.5</t>
  </si>
  <si>
    <t>5+ to 6 yrs=1.5</t>
  </si>
  <si>
    <t>8+ to 9 yrs=2</t>
  </si>
  <si>
    <t>6+ to 7 yrs=2</t>
  </si>
  <si>
    <t>9+ to 10 yrs=2.5</t>
  </si>
  <si>
    <t>7+ to 8 yrs=2.5</t>
  </si>
  <si>
    <t>10+ to 11 yrs=3</t>
  </si>
  <si>
    <t>8+ to 9 yrs=3</t>
  </si>
  <si>
    <t>11+ to 12 yrs=3.5</t>
  </si>
  <si>
    <t>9+ to 10 yrs=3.5</t>
  </si>
  <si>
    <t>12+ to 13 years =4</t>
  </si>
  <si>
    <t>10+ to 11 years =4</t>
  </si>
  <si>
    <t>13+ to 14 years =4.5</t>
  </si>
  <si>
    <t>11+ to 12 years =4.5</t>
  </si>
  <si>
    <t>14+  years = 5</t>
  </si>
  <si>
    <t>12+  years = 5</t>
  </si>
  <si>
    <t xml:space="preserve">Proposal: Rural Posting Formula) = (Number of years of service in remote areas)/ (Total number of years in service) * 100 - (The Answer to be converted to 8% as per the BCSR 2010 )                                                                                 </t>
  </si>
  <si>
    <t>16 years, 2 months, and 30 days</t>
  </si>
  <si>
    <t>15 years, 2 months, and 30 days</t>
  </si>
  <si>
    <t>10 years, 2 months, and 30 days</t>
  </si>
  <si>
    <t>Dr. Mahesh Gurung</t>
  </si>
  <si>
    <t>Dr. Tashi Choden</t>
  </si>
  <si>
    <t>Medical Officer</t>
  </si>
  <si>
    <t>Dr. Tandin Zam</t>
  </si>
  <si>
    <t>28 Feb. 1990</t>
  </si>
  <si>
    <t>Nanglam BHU</t>
  </si>
  <si>
    <t>Seniority (5%) C</t>
  </si>
  <si>
    <t>RP                 (5%) D</t>
  </si>
  <si>
    <t>Total (50%)(A+B+C+ D)</t>
  </si>
  <si>
    <t>Seniority (5%)C</t>
  </si>
  <si>
    <t>Total (50%)(A+B+C+D)</t>
  </si>
  <si>
    <t xml:space="preserve"> MD Anaesthesiology. Slot:2 </t>
  </si>
  <si>
    <t xml:space="preserve"> MD Emergency Medicine. Slot:2 </t>
  </si>
  <si>
    <t>MD ENT. Slot:1</t>
  </si>
  <si>
    <t>Dr. Sonam Tobgay</t>
  </si>
  <si>
    <t>Haa Hospital</t>
  </si>
  <si>
    <t>MD General Practitioner. Slot 2</t>
  </si>
  <si>
    <t>MD Medicine. Slot 2</t>
  </si>
  <si>
    <t>MD OBGYN. Slot 2</t>
  </si>
  <si>
    <t>MD Ophthalmology. Slot 1</t>
  </si>
  <si>
    <t>MD Orthopedics. Slot 1</t>
  </si>
  <si>
    <t>MD Pediatrics. Slot 2</t>
  </si>
  <si>
    <t>MD Psychiatry. Slot 1</t>
  </si>
  <si>
    <t>MD Surgery. Slot 2</t>
  </si>
  <si>
    <t>Dr. Karma Dhendup</t>
  </si>
  <si>
    <t>Sjongkhar Hospital</t>
  </si>
  <si>
    <t>Dr. Jigme Sherab</t>
  </si>
  <si>
    <t>ERRH, Mongar</t>
  </si>
  <si>
    <t>Dr. Sangay Dorji</t>
  </si>
  <si>
    <t>Dr. Gayleg Tenzin</t>
  </si>
  <si>
    <t>Dr. Sonam Choden Tshering</t>
  </si>
  <si>
    <t>Dr. Deepak Rai</t>
  </si>
  <si>
    <t>Yebilaptsa Hospital</t>
  </si>
  <si>
    <t>Dr. Sagar Rai</t>
  </si>
  <si>
    <t>CRRH, Gelephu</t>
  </si>
  <si>
    <t>Dr. Wangdi Norbu</t>
  </si>
  <si>
    <t>Trongsa Hospital</t>
  </si>
  <si>
    <t>Dr. Chimi Lhaky Zam</t>
  </si>
  <si>
    <t>Khamdang BHU, T/yangtse</t>
  </si>
  <si>
    <t>Chhukha BHU</t>
  </si>
  <si>
    <t>Dr. Sonam Dema</t>
  </si>
  <si>
    <t>Punakha Hospital</t>
  </si>
  <si>
    <t>Dr. Rebecca Subba</t>
  </si>
  <si>
    <t>Sibsoo BHU, Samtse</t>
  </si>
  <si>
    <t>Sipsoo Hospital, Samtse</t>
  </si>
  <si>
    <t>Dagapela Hospital</t>
  </si>
  <si>
    <t>HM Secretariat</t>
  </si>
  <si>
    <t>Dr. Sonam Wangchuk</t>
  </si>
  <si>
    <t>2 years 11 months 29 days</t>
  </si>
  <si>
    <t xml:space="preserve"> Certificate/class XII 40%</t>
  </si>
  <si>
    <t>Degree (60%)</t>
  </si>
  <si>
    <t>1 years 5 months 29 days</t>
  </si>
  <si>
    <t>Completed</t>
  </si>
  <si>
    <t>PR (40%) B</t>
  </si>
  <si>
    <t>Academic (40%) A</t>
  </si>
  <si>
    <t>Individual Achievement (10%)</t>
  </si>
  <si>
    <t>5 years 5 months 29 days</t>
  </si>
  <si>
    <t>4 years 5 months 29 days</t>
  </si>
  <si>
    <t>1 year</t>
  </si>
  <si>
    <t>2 years 5 months 29 days</t>
  </si>
  <si>
    <t>Dr. Gitanjali Lamichaney</t>
  </si>
  <si>
    <t>CRRH. Gelephu</t>
  </si>
  <si>
    <t>1 years 11 months 29 days</t>
  </si>
  <si>
    <t>3 years 11 months 29 days</t>
  </si>
  <si>
    <t>4 years 2 months 5 days</t>
  </si>
  <si>
    <t>1 years 8 months 5 days</t>
  </si>
  <si>
    <t>3 years 5 months 29 days</t>
  </si>
  <si>
    <t>EID #</t>
  </si>
  <si>
    <t>No applicant</t>
  </si>
  <si>
    <t>Chukha BHU I, Chhukha</t>
  </si>
  <si>
    <t>Dr. Karma Choden</t>
  </si>
  <si>
    <t>Dr. Ugyen Thinley</t>
  </si>
  <si>
    <t>Samdrupchoeling BHU I, Sjongkhar</t>
  </si>
  <si>
    <t>Dr. Leki Wangmo Wangchey</t>
  </si>
  <si>
    <t>Rangjung BHU I, Tgang</t>
  </si>
  <si>
    <t>Jomotshangkha BHU I</t>
  </si>
  <si>
    <t xml:space="preserve">Dr. Chempay </t>
  </si>
  <si>
    <t>Dr. Pema Wangchuk</t>
  </si>
  <si>
    <t>Wangdicholing Hospital, Bumthang</t>
  </si>
  <si>
    <t>Dr. Kinley Dorji</t>
  </si>
  <si>
    <t>Samtse Hospital</t>
  </si>
  <si>
    <t>Medicall Officer</t>
  </si>
  <si>
    <t>Sarpang Hospital</t>
  </si>
  <si>
    <t xml:space="preserve">Dr. Tashi Penjor </t>
  </si>
  <si>
    <t>Dr. Tshering Penjore</t>
  </si>
  <si>
    <t>Trashigang Hospital</t>
  </si>
  <si>
    <t>Dr. Suraj Kafley</t>
  </si>
  <si>
    <t>Tsimalakha Hospital, Chhukha</t>
  </si>
  <si>
    <t>Dr. Tshering Yangdon</t>
  </si>
  <si>
    <t>Phuntsholing Hospital</t>
  </si>
  <si>
    <t>Dr. Chimi Dorji</t>
  </si>
  <si>
    <t>Lhamoyzingkha BHU, Dagana</t>
  </si>
  <si>
    <t>Dr. Dorji Tshering</t>
  </si>
  <si>
    <t>Eusa BHU I, Wangdi</t>
  </si>
  <si>
    <t>Dr. Choeda Gyaltshen</t>
  </si>
  <si>
    <t>CMO</t>
  </si>
  <si>
    <t xml:space="preserve"> MD Anaesthesiology. Slot:4 (KGUSMB 2, Ex-country 2)</t>
  </si>
  <si>
    <t xml:space="preserve"> MD Emergency Medicine. Slot:3 (KUSUMB 2, Ex-country 1)</t>
  </si>
  <si>
    <t>MD ENT. Slot:2 (KGUMSB 1, Ex-country 1)</t>
  </si>
  <si>
    <t>MD General Practitioner. Slot 4 (KGUMSB 4)</t>
  </si>
  <si>
    <t>MD Medicine. Slot 4 (KGUMSB 3, Ex-country 1)</t>
  </si>
  <si>
    <t>Riserboo Hospital, Tgang</t>
  </si>
  <si>
    <t>MD OBGYN. Slot 4 (KGUMSB 3, Ex-country 1|)</t>
  </si>
  <si>
    <t>MD Ophthalmology. Slot 2 (KGUMSB 2)</t>
  </si>
  <si>
    <t>MD Orthopedics Surgery. Slot 3 (KGUMSB 2, Ex-country 1)</t>
  </si>
  <si>
    <t>MD Pediatrics. Slot 4 (KGUMSB 3, Ex-country 1)</t>
  </si>
  <si>
    <t>MD Surgery. Slot 4 (KGUMSB 3, Ex-country1)</t>
  </si>
  <si>
    <t>MD Geriatric Medicine. Slot 1 (Ex-country 1)</t>
  </si>
  <si>
    <t>MD Radiology. Slot 1 (Ex-country 1)</t>
  </si>
  <si>
    <t>MD Hospital Administration. Slot 1 (Ex-country)</t>
  </si>
  <si>
    <t>1. ENT 2. Orthopedic Surgery</t>
  </si>
  <si>
    <t>1. ENT 2. Surgery 3. Medicine</t>
  </si>
  <si>
    <t>1. Opthalmology 2. Emergency Medicine 3. Paediatrics</t>
  </si>
  <si>
    <t>1. General Surgery 2. ENT 3. EP</t>
  </si>
  <si>
    <t>1. Radiology 2. Orthopedic Surgery 3. ENT</t>
  </si>
  <si>
    <t>chempay@mrrh.gov.bt</t>
  </si>
  <si>
    <t>ugyenrin@gmail.com</t>
  </si>
  <si>
    <t>dellenlhamo@gmail.com</t>
  </si>
  <si>
    <t>ngyamtshok@gmail.com</t>
  </si>
  <si>
    <t>Sering968@yahoo.com</t>
  </si>
  <si>
    <t>healthscholing@gmail.com/yuuteedr@gmail.com</t>
  </si>
  <si>
    <t>leeky5@yahoo.com</t>
  </si>
  <si>
    <t>ascleppius.tw@gmail.com</t>
  </si>
  <si>
    <t>kinzangw@mrrh.gov.bt</t>
  </si>
  <si>
    <t>kinleycd@gmail.com</t>
  </si>
  <si>
    <t>pelwang73@gmail.com</t>
  </si>
  <si>
    <t>kchoden@jdwnrh.gov.bt</t>
  </si>
  <si>
    <t>ugnzang90@gmail.com</t>
  </si>
  <si>
    <t>sandiptamang9@gmail.com</t>
  </si>
  <si>
    <t>tash_doj@yahoo.com</t>
  </si>
  <si>
    <t>Clzam@trashiyangtse.gov.bt</t>
  </si>
  <si>
    <t>ttsheringlhamo@gmail.com</t>
  </si>
  <si>
    <t>narayanrizal@gmail.com</t>
  </si>
  <si>
    <t>dorjicuba@gmail.com</t>
  </si>
  <si>
    <t>17564722/ 77417027</t>
  </si>
  <si>
    <t>tobgyesonam77@gmail.com</t>
  </si>
  <si>
    <t>sonamw@jdwnrh.gov.bt</t>
  </si>
  <si>
    <t>tashipenjore507@gmail.com</t>
  </si>
  <si>
    <t>tsheringchoden140@gmail.com</t>
  </si>
  <si>
    <t>pentshe10@gmail.com</t>
  </si>
  <si>
    <t>kafleyfamily@gmail.com</t>
  </si>
  <si>
    <t>tyangdon@health.gov.bt</t>
  </si>
  <si>
    <t>chimid@dagana.gov.bt</t>
  </si>
  <si>
    <t>17517821/77342866</t>
  </si>
  <si>
    <t>dorjitshering85@yahoo.com</t>
  </si>
  <si>
    <t>Waelshey1@gmail.com</t>
  </si>
  <si>
    <t>cgyaltshen@yahoo.com</t>
  </si>
  <si>
    <t>Mr. Sangay Tshering</t>
  </si>
  <si>
    <t>Audiologist</t>
  </si>
  <si>
    <t>Fellowship in Spine Surgery</t>
  </si>
  <si>
    <t>Dr. Letho</t>
  </si>
  <si>
    <t>Orthopedist</t>
  </si>
  <si>
    <t>P/ling Hospital</t>
  </si>
  <si>
    <t>Fellowship in Infectious Disease</t>
  </si>
  <si>
    <t>Dr. Sonam Zangmo</t>
  </si>
  <si>
    <t>29 Nov. 1984</t>
  </si>
  <si>
    <t>Gelephu CRR Hospital</t>
  </si>
  <si>
    <t>Fellowship in Intensive Care</t>
  </si>
  <si>
    <t>Dr. Kinley Zangmo</t>
  </si>
  <si>
    <t>16  Oct. 1988</t>
  </si>
  <si>
    <t>sangayt@jdwnrh.gov.bt</t>
  </si>
  <si>
    <t>sonam_z@hotmail.com</t>
  </si>
  <si>
    <t>Dr. Ugyen Rinzin</t>
  </si>
  <si>
    <t>Dr. Jigme Lhendup Dorji</t>
  </si>
  <si>
    <t>Dr. Dechen Lhamo</t>
  </si>
  <si>
    <t>Dr. Ngajay Jamtsho</t>
  </si>
  <si>
    <t>Dr. Tshering Wangmo</t>
  </si>
  <si>
    <t>Dr. Thai Wangmo</t>
  </si>
  <si>
    <t>Dr. Kinzang Wangdi</t>
  </si>
  <si>
    <t>Dr. Ugyen Zangmo</t>
  </si>
  <si>
    <t>Dr. Tshering Lhamo</t>
  </si>
  <si>
    <t>Dr. Narayan Rizal</t>
  </si>
  <si>
    <t>Dr. Dorji Wangchuk</t>
  </si>
  <si>
    <t>Dr. Dawa Gyeltshen</t>
  </si>
  <si>
    <t>Contact #</t>
  </si>
  <si>
    <t>Email Id</t>
  </si>
  <si>
    <t>Course Option</t>
  </si>
  <si>
    <t>Dr. Thinley Choeden</t>
  </si>
  <si>
    <t>Dr. Prethi Giri</t>
  </si>
  <si>
    <t xml:space="preserve">thinley.choden4@gmail.com </t>
  </si>
  <si>
    <t>Medicine II</t>
  </si>
  <si>
    <t>pretisamymatters@gmail.com</t>
  </si>
  <si>
    <t xml:space="preserve">jigmel_dorji@hotmail.com </t>
  </si>
  <si>
    <t>Master in Audiology</t>
  </si>
  <si>
    <t>CID</t>
  </si>
  <si>
    <t xml:space="preserve"> MD Emergency Medicine. Slot:3 </t>
  </si>
  <si>
    <t>3 years</t>
  </si>
  <si>
    <t>1 year 6 months</t>
  </si>
  <si>
    <t>MD Pediatrics. Slot 3</t>
  </si>
  <si>
    <t>3 years 6 months</t>
  </si>
  <si>
    <t>6 years 6 months</t>
  </si>
  <si>
    <t>2 years 6 months</t>
  </si>
  <si>
    <t>MD Surgery. Slot 4</t>
  </si>
  <si>
    <t>2 years</t>
  </si>
  <si>
    <t>6 years</t>
  </si>
  <si>
    <t>MD Medicine. Slot 3</t>
  </si>
  <si>
    <t>4 years</t>
  </si>
  <si>
    <t>Riserboo Hospital,Hospital Services/BHU I,Trashigang Dzongkhag</t>
  </si>
  <si>
    <t>Dr. Adwitya Powdyel</t>
  </si>
  <si>
    <t>Gidakom Hospital</t>
  </si>
  <si>
    <t xml:space="preserve">apowdyel@gmail.com </t>
  </si>
  <si>
    <t>Sonam Dolkar</t>
  </si>
  <si>
    <t>Nganglam BHU, Pemagatshel</t>
  </si>
  <si>
    <t>sonamdolkar2015@gmail.com</t>
  </si>
  <si>
    <t>Dr. Samjana Rai</t>
  </si>
  <si>
    <t>Dr. Sandeep Kumar Sanyasi</t>
  </si>
  <si>
    <t>1. Ortho Surgery 2. ENT 3. Ophthalmology</t>
  </si>
  <si>
    <t>1. MD Medicine. 2.  MD Geriatric Medicine 3. Hospital Administration</t>
  </si>
  <si>
    <t>1. MD Medicine. 2. Radiology</t>
  </si>
  <si>
    <t>1, Medicine. 2. Pediatrics. 3. Radiology</t>
  </si>
  <si>
    <t xml:space="preserve">sandeepsk99@hot mail.com </t>
  </si>
  <si>
    <t xml:space="preserve">samjanarait@gmail.com </t>
  </si>
  <si>
    <t>Shortlisted candidates for PG Residency for  2020 intake</t>
  </si>
  <si>
    <t>Entrance Exam venue</t>
  </si>
  <si>
    <t>Rangjung BHU I, Trashigang</t>
  </si>
  <si>
    <t>Eastern Regional Referral Hospital, Mongar</t>
  </si>
  <si>
    <t>KGUMSB, Thimphu</t>
  </si>
  <si>
    <t>Position title</t>
  </si>
  <si>
    <t>EID. No.</t>
  </si>
  <si>
    <t>Dr. Ujal Pradhan</t>
  </si>
  <si>
    <t>Pelden Wangchuk</t>
  </si>
  <si>
    <t>Dy. Chief Audiologist</t>
  </si>
  <si>
    <t xml:space="preserve">Course applied for </t>
  </si>
  <si>
    <t>MD Emergency Medicine</t>
  </si>
  <si>
    <t>MD ENT</t>
  </si>
  <si>
    <t>MD General Practice</t>
  </si>
  <si>
    <t>MD Internal Medicine</t>
  </si>
  <si>
    <t>MD Gynecology</t>
  </si>
  <si>
    <t>MD Pediatrics</t>
  </si>
  <si>
    <t>MD Ophthalmology</t>
  </si>
  <si>
    <t>MD Radiology</t>
  </si>
  <si>
    <t>MD Orthopedic Surgery</t>
  </si>
  <si>
    <t>MS Surgery</t>
  </si>
  <si>
    <t>MD Hospital Administration</t>
  </si>
  <si>
    <t xml:space="preserve">Fellowship in Intensive Care </t>
  </si>
  <si>
    <t>Selection interview to be announced at later dates after confirming panel members</t>
  </si>
  <si>
    <t>Selection interview to be conducted by MoH</t>
  </si>
  <si>
    <t>Shortlisted candidates for PG Residency, Mater and Fellowship programs for 2020-2021 intake</t>
  </si>
  <si>
    <t xml:space="preserve">Note: The candidates should have completed  PG Residency Program at the time of selection interview. </t>
  </si>
  <si>
    <t>Entrance examination/seletion/interview date</t>
  </si>
  <si>
    <t>7th July 2020 from 10:00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</si>
</sst>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</font>
    <font>
      <sz val="12"/>
      <color rgb="FF555555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9" fontId="3" fillId="2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15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/>
    </xf>
    <xf numFmtId="14" fontId="5" fillId="0" borderId="1" xfId="1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5" fillId="0" borderId="1" xfId="1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0" fontId="6" fillId="0" borderId="0" xfId="0" applyFont="1"/>
    <xf numFmtId="15" fontId="6" fillId="0" borderId="0" xfId="0" applyNumberFormat="1" applyFont="1"/>
    <xf numFmtId="0" fontId="4" fillId="5" borderId="0" xfId="0" applyFont="1" applyFill="1" applyAlignment="1">
      <alignment horizontal="left"/>
    </xf>
    <xf numFmtId="0" fontId="4" fillId="5" borderId="1" xfId="0" applyFont="1" applyFill="1" applyBorder="1" applyAlignment="1">
      <alignment horizontal="left"/>
    </xf>
    <xf numFmtId="15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wrapText="1"/>
    </xf>
    <xf numFmtId="2" fontId="4" fillId="5" borderId="1" xfId="0" applyNumberFormat="1" applyFont="1" applyFill="1" applyBorder="1" applyAlignment="1">
      <alignment horizontal="left"/>
    </xf>
    <xf numFmtId="15" fontId="4" fillId="0" borderId="0" xfId="0" applyNumberFormat="1" applyFont="1" applyAlignment="1">
      <alignment horizontal="left"/>
    </xf>
    <xf numFmtId="165" fontId="5" fillId="0" borderId="1" xfId="1" applyNumberFormat="1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left"/>
    </xf>
    <xf numFmtId="0" fontId="6" fillId="0" borderId="0" xfId="0" applyFont="1" applyAlignment="1">
      <alignment wrapText="1"/>
    </xf>
    <xf numFmtId="0" fontId="4" fillId="0" borderId="11" xfId="0" applyFont="1" applyBorder="1" applyAlignment="1">
      <alignment horizontal="left"/>
    </xf>
    <xf numFmtId="2" fontId="4" fillId="0" borderId="11" xfId="0" applyNumberFormat="1" applyFont="1" applyBorder="1" applyAlignment="1">
      <alignment horizontal="left"/>
    </xf>
    <xf numFmtId="0" fontId="6" fillId="0" borderId="1" xfId="0" applyFont="1" applyBorder="1"/>
    <xf numFmtId="15" fontId="4" fillId="0" borderId="1" xfId="0" applyNumberFormat="1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 wrapText="1" readingOrder="1"/>
    </xf>
    <xf numFmtId="0" fontId="7" fillId="0" borderId="1" xfId="0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/>
    <xf numFmtId="0" fontId="4" fillId="5" borderId="0" xfId="0" applyFont="1" applyFill="1" applyBorder="1" applyAlignment="1">
      <alignment horizontal="left" wrapText="1"/>
    </xf>
    <xf numFmtId="0" fontId="7" fillId="5" borderId="0" xfId="0" applyFont="1" applyFill="1" applyAlignment="1">
      <alignment wrapText="1"/>
    </xf>
    <xf numFmtId="0" fontId="5" fillId="5" borderId="1" xfId="0" applyFont="1" applyFill="1" applyBorder="1" applyAlignment="1">
      <alignment horizontal="left"/>
    </xf>
    <xf numFmtId="2" fontId="4" fillId="4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 readingOrder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9" fillId="0" borderId="1" xfId="2" applyFont="1" applyBorder="1" applyAlignment="1" applyProtection="1">
      <alignment horizontal="left"/>
    </xf>
    <xf numFmtId="0" fontId="8" fillId="0" borderId="1" xfId="2" applyBorder="1" applyAlignment="1" applyProtection="1">
      <alignment horizontal="left"/>
    </xf>
    <xf numFmtId="0" fontId="9" fillId="0" borderId="1" xfId="2" applyFont="1" applyBorder="1" applyAlignment="1" applyProtection="1">
      <alignment horizontal="left" wrapText="1"/>
    </xf>
    <xf numFmtId="0" fontId="7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8" fillId="0" borderId="0" xfId="2" applyAlignment="1" applyProtection="1"/>
    <xf numFmtId="0" fontId="8" fillId="5" borderId="1" xfId="2" applyFill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7" fillId="0" borderId="0" xfId="0" applyFont="1"/>
    <xf numFmtId="0" fontId="10" fillId="0" borderId="0" xfId="0" applyFont="1" applyAlignment="1">
      <alignment horizontal="left" vertical="center"/>
    </xf>
    <xf numFmtId="0" fontId="6" fillId="5" borderId="0" xfId="0" applyFont="1" applyFill="1"/>
    <xf numFmtId="15" fontId="4" fillId="5" borderId="0" xfId="0" applyNumberFormat="1" applyFont="1" applyFill="1" applyAlignment="1">
      <alignment horizontal="left"/>
    </xf>
    <xf numFmtId="0" fontId="4" fillId="5" borderId="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11" fillId="5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right" wrapText="1" readingOrder="1"/>
    </xf>
    <xf numFmtId="0" fontId="7" fillId="0" borderId="1" xfId="0" applyFont="1" applyBorder="1" applyAlignment="1">
      <alignment horizontal="right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4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scleppius.tw@gmail.com" TargetMode="External"/><Relationship Id="rId13" Type="http://schemas.openxmlformats.org/officeDocument/2006/relationships/hyperlink" Target="mailto:kchoden@jdwnrh.gov.bt" TargetMode="External"/><Relationship Id="rId18" Type="http://schemas.openxmlformats.org/officeDocument/2006/relationships/hyperlink" Target="mailto:Clzam@trashiyangtse.gov.bt" TargetMode="External"/><Relationship Id="rId26" Type="http://schemas.openxmlformats.org/officeDocument/2006/relationships/hyperlink" Target="mailto:pentshe10@gmail.com" TargetMode="External"/><Relationship Id="rId39" Type="http://schemas.openxmlformats.org/officeDocument/2006/relationships/printerSettings" Target="../printerSettings/printerSettings2.bin"/><Relationship Id="rId3" Type="http://schemas.openxmlformats.org/officeDocument/2006/relationships/hyperlink" Target="mailto:ngyamtshok@gmail.com" TargetMode="External"/><Relationship Id="rId21" Type="http://schemas.openxmlformats.org/officeDocument/2006/relationships/hyperlink" Target="mailto:sonamw@jdwnrh.gov.bt" TargetMode="External"/><Relationship Id="rId34" Type="http://schemas.openxmlformats.org/officeDocument/2006/relationships/hyperlink" Target="mailto:pretisamymatters@gmail.com" TargetMode="External"/><Relationship Id="rId7" Type="http://schemas.openxmlformats.org/officeDocument/2006/relationships/hyperlink" Target="mailto:leeky5@yahoo.com" TargetMode="External"/><Relationship Id="rId12" Type="http://schemas.openxmlformats.org/officeDocument/2006/relationships/hyperlink" Target="mailto:sandiptamang9@gmail.com" TargetMode="External"/><Relationship Id="rId17" Type="http://schemas.openxmlformats.org/officeDocument/2006/relationships/hyperlink" Target="mailto:dorjicuba@gmail.com" TargetMode="External"/><Relationship Id="rId25" Type="http://schemas.openxmlformats.org/officeDocument/2006/relationships/hyperlink" Target="mailto:tyangdon@health.gov.bt" TargetMode="External"/><Relationship Id="rId33" Type="http://schemas.openxmlformats.org/officeDocument/2006/relationships/hyperlink" Target="mailto:thinley.choden4@gmail.com" TargetMode="External"/><Relationship Id="rId38" Type="http://schemas.openxmlformats.org/officeDocument/2006/relationships/hyperlink" Target="mailto:samjanarait@gmail.com" TargetMode="External"/><Relationship Id="rId2" Type="http://schemas.openxmlformats.org/officeDocument/2006/relationships/hyperlink" Target="mailto:ugyenrin@gmail.com" TargetMode="External"/><Relationship Id="rId16" Type="http://schemas.openxmlformats.org/officeDocument/2006/relationships/hyperlink" Target="mailto:ttsheringlhamo@gmail.com" TargetMode="External"/><Relationship Id="rId20" Type="http://schemas.openxmlformats.org/officeDocument/2006/relationships/hyperlink" Target="mailto:tobgyesonam77@gmail.com" TargetMode="External"/><Relationship Id="rId29" Type="http://schemas.openxmlformats.org/officeDocument/2006/relationships/hyperlink" Target="mailto:cgyaltshen@yahoo.com" TargetMode="External"/><Relationship Id="rId1" Type="http://schemas.openxmlformats.org/officeDocument/2006/relationships/hyperlink" Target="mailto:chempay@mrrh.gov.bt" TargetMode="External"/><Relationship Id="rId6" Type="http://schemas.openxmlformats.org/officeDocument/2006/relationships/hyperlink" Target="mailto:healthscholing@gmail.com/yuuteedr@gmail.com" TargetMode="External"/><Relationship Id="rId11" Type="http://schemas.openxmlformats.org/officeDocument/2006/relationships/hyperlink" Target="mailto:pelwang73@gmail.com" TargetMode="External"/><Relationship Id="rId24" Type="http://schemas.openxmlformats.org/officeDocument/2006/relationships/hyperlink" Target="mailto:chimid@dagana.gov.bt" TargetMode="External"/><Relationship Id="rId32" Type="http://schemas.openxmlformats.org/officeDocument/2006/relationships/hyperlink" Target="mailto:sonam_z@hotmail.com" TargetMode="External"/><Relationship Id="rId37" Type="http://schemas.openxmlformats.org/officeDocument/2006/relationships/hyperlink" Target="mailto:sandeepsk99@hot%20mail.com" TargetMode="External"/><Relationship Id="rId5" Type="http://schemas.openxmlformats.org/officeDocument/2006/relationships/hyperlink" Target="mailto:Sering968@yahoo.com" TargetMode="External"/><Relationship Id="rId15" Type="http://schemas.openxmlformats.org/officeDocument/2006/relationships/hyperlink" Target="mailto:tash_doj@yahoo.com" TargetMode="External"/><Relationship Id="rId23" Type="http://schemas.openxmlformats.org/officeDocument/2006/relationships/hyperlink" Target="mailto:tashipenjore507@gmail.com" TargetMode="External"/><Relationship Id="rId28" Type="http://schemas.openxmlformats.org/officeDocument/2006/relationships/hyperlink" Target="mailto:dorjitshering85@yahoo.com" TargetMode="External"/><Relationship Id="rId36" Type="http://schemas.openxmlformats.org/officeDocument/2006/relationships/hyperlink" Target="mailto:apowdyel@gmail.com" TargetMode="External"/><Relationship Id="rId10" Type="http://schemas.openxmlformats.org/officeDocument/2006/relationships/hyperlink" Target="mailto:kinleycd@gmail.com" TargetMode="External"/><Relationship Id="rId19" Type="http://schemas.openxmlformats.org/officeDocument/2006/relationships/hyperlink" Target="mailto:narayanrizal@gmail.com" TargetMode="External"/><Relationship Id="rId31" Type="http://schemas.openxmlformats.org/officeDocument/2006/relationships/hyperlink" Target="mailto:sangayt@jdwnrh.gov.bt" TargetMode="External"/><Relationship Id="rId4" Type="http://schemas.openxmlformats.org/officeDocument/2006/relationships/hyperlink" Target="mailto:dellenlhamo@gmail.com" TargetMode="External"/><Relationship Id="rId9" Type="http://schemas.openxmlformats.org/officeDocument/2006/relationships/hyperlink" Target="mailto:kinzangw@mrrh.gov.bt" TargetMode="External"/><Relationship Id="rId14" Type="http://schemas.openxmlformats.org/officeDocument/2006/relationships/hyperlink" Target="mailto:ugnzang90@gmail.com" TargetMode="External"/><Relationship Id="rId22" Type="http://schemas.openxmlformats.org/officeDocument/2006/relationships/hyperlink" Target="mailto:kafleyfamily@gmail.com" TargetMode="External"/><Relationship Id="rId27" Type="http://schemas.openxmlformats.org/officeDocument/2006/relationships/hyperlink" Target="mailto:tsheringchoden140@gmail.com" TargetMode="External"/><Relationship Id="rId30" Type="http://schemas.openxmlformats.org/officeDocument/2006/relationships/hyperlink" Target="mailto:Waelshey1@gmail.com" TargetMode="External"/><Relationship Id="rId35" Type="http://schemas.openxmlformats.org/officeDocument/2006/relationships/hyperlink" Target="mailto:jigmel_dorji@hot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pane ySplit="2" topLeftCell="A3" activePane="bottomLeft" state="frozen"/>
      <selection pane="bottomLeft" activeCell="A7" sqref="A7:XFD7"/>
    </sheetView>
  </sheetViews>
  <sheetFormatPr defaultColWidth="9.109375" defaultRowHeight="15.6" x14ac:dyDescent="0.3"/>
  <cols>
    <col min="1" max="1" width="6.44140625" style="6" customWidth="1"/>
    <col min="2" max="2" width="18" style="6" customWidth="1"/>
    <col min="3" max="3" width="14" style="6" bestFit="1" customWidth="1"/>
    <col min="4" max="4" width="14.88671875" style="6" customWidth="1"/>
    <col min="5" max="5" width="14" style="6" customWidth="1"/>
    <col min="6" max="6" width="12.6640625" style="6" customWidth="1"/>
    <col min="7" max="7" width="11.6640625" style="6" customWidth="1"/>
    <col min="8" max="8" width="11" style="6" customWidth="1"/>
    <col min="9" max="11" width="9.109375" style="6"/>
    <col min="12" max="12" width="6.44140625" style="6" customWidth="1"/>
    <col min="13" max="13" width="9.109375" style="6"/>
    <col min="14" max="14" width="11.88671875" style="6" customWidth="1"/>
    <col min="15" max="16" width="9.109375" style="6"/>
    <col min="17" max="17" width="10.88671875" style="6" customWidth="1"/>
    <col min="18" max="20" width="9.109375" style="6"/>
    <col min="21" max="21" width="11.109375" style="6" customWidth="1"/>
    <col min="22" max="16384" width="9.109375" style="6"/>
  </cols>
  <sheetData>
    <row r="1" spans="1:21" ht="62.4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83" t="s">
        <v>8</v>
      </c>
      <c r="J1" s="83"/>
      <c r="K1" s="3" t="s">
        <v>213</v>
      </c>
      <c r="L1" s="4" t="s">
        <v>10</v>
      </c>
      <c r="M1" s="3" t="s">
        <v>212</v>
      </c>
      <c r="N1" s="3" t="s">
        <v>12</v>
      </c>
      <c r="O1" s="3" t="s">
        <v>168</v>
      </c>
      <c r="P1" s="3" t="s">
        <v>166</v>
      </c>
      <c r="Q1" s="3" t="s">
        <v>214</v>
      </c>
      <c r="R1" s="3" t="s">
        <v>169</v>
      </c>
      <c r="S1" s="3" t="s">
        <v>13</v>
      </c>
      <c r="T1" s="5" t="s">
        <v>14</v>
      </c>
      <c r="U1" s="2" t="s">
        <v>15</v>
      </c>
    </row>
    <row r="2" spans="1:21" ht="66.75" customHeight="1" x14ac:dyDescent="0.3">
      <c r="A2" s="7"/>
      <c r="B2" s="7"/>
      <c r="C2" s="7"/>
      <c r="D2" s="7"/>
      <c r="E2" s="7"/>
      <c r="F2" s="7"/>
      <c r="G2" s="7"/>
      <c r="H2" s="7"/>
      <c r="I2" s="8" t="s">
        <v>209</v>
      </c>
      <c r="J2" s="3" t="s">
        <v>208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x14ac:dyDescent="0.3">
      <c r="A3" s="84" t="s">
        <v>170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6"/>
    </row>
    <row r="4" spans="1:21" x14ac:dyDescent="0.3">
      <c r="A4" s="9"/>
      <c r="B4" s="9"/>
      <c r="C4" s="9"/>
      <c r="D4" s="10"/>
      <c r="E4" s="10"/>
      <c r="F4" s="9"/>
      <c r="G4" s="11"/>
      <c r="H4" s="9"/>
      <c r="I4" s="18"/>
      <c r="J4" s="9"/>
      <c r="K4" s="18"/>
      <c r="L4" s="9"/>
      <c r="M4" s="18"/>
      <c r="N4" s="11"/>
      <c r="O4" s="9"/>
      <c r="P4" s="9"/>
      <c r="Q4" s="9"/>
      <c r="R4" s="18"/>
      <c r="S4" s="9"/>
      <c r="T4" s="9"/>
      <c r="U4" s="9"/>
    </row>
    <row r="5" spans="1:21" x14ac:dyDescent="0.3">
      <c r="A5" s="9"/>
      <c r="B5" s="9"/>
      <c r="C5" s="9"/>
      <c r="D5" s="10"/>
      <c r="E5" s="10"/>
      <c r="F5" s="9"/>
      <c r="G5" s="11"/>
      <c r="H5" s="9"/>
      <c r="I5" s="9"/>
      <c r="J5" s="9"/>
      <c r="K5" s="18"/>
      <c r="L5" s="19"/>
      <c r="M5" s="18"/>
      <c r="N5" s="11"/>
      <c r="O5" s="9"/>
      <c r="P5" s="9"/>
      <c r="Q5" s="9"/>
      <c r="R5" s="18"/>
      <c r="S5" s="9"/>
      <c r="T5" s="9"/>
      <c r="U5" s="9"/>
    </row>
    <row r="6" spans="1:21" x14ac:dyDescent="0.3">
      <c r="A6" s="84" t="s">
        <v>171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6"/>
    </row>
    <row r="7" spans="1:21" x14ac:dyDescent="0.3">
      <c r="A7" s="9"/>
      <c r="B7" s="21"/>
      <c r="C7" s="21"/>
      <c r="D7" s="22"/>
      <c r="E7" s="10"/>
      <c r="F7" s="9"/>
      <c r="G7" s="11"/>
      <c r="H7" s="9"/>
      <c r="I7" s="9"/>
      <c r="J7" s="9"/>
      <c r="K7" s="18"/>
      <c r="L7" s="9"/>
      <c r="M7" s="18"/>
      <c r="N7" s="36"/>
      <c r="O7" s="9"/>
      <c r="P7" s="9"/>
      <c r="Q7" s="9"/>
      <c r="R7" s="18"/>
      <c r="S7" s="9"/>
      <c r="T7" s="9"/>
      <c r="U7" s="9"/>
    </row>
    <row r="8" spans="1:21" x14ac:dyDescent="0.3">
      <c r="A8" s="9"/>
      <c r="B8" s="11"/>
      <c r="C8" s="9"/>
      <c r="D8" s="10"/>
      <c r="E8" s="10"/>
      <c r="F8" s="9"/>
      <c r="G8" s="11"/>
      <c r="H8" s="9"/>
      <c r="I8" s="9"/>
      <c r="J8" s="9"/>
      <c r="K8" s="18"/>
      <c r="L8" s="9"/>
      <c r="M8" s="18"/>
      <c r="N8" s="11"/>
      <c r="O8" s="9"/>
      <c r="P8" s="9"/>
      <c r="Q8" s="9"/>
      <c r="R8" s="18"/>
      <c r="S8" s="9"/>
      <c r="T8" s="9"/>
      <c r="U8" s="9"/>
    </row>
    <row r="9" spans="1:21" s="23" customFormat="1" x14ac:dyDescent="0.3">
      <c r="A9" s="84" t="s">
        <v>172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6"/>
    </row>
    <row r="10" spans="1:21" ht="46.8" x14ac:dyDescent="0.3">
      <c r="A10" s="9">
        <v>1</v>
      </c>
      <c r="B10" s="9" t="s">
        <v>173</v>
      </c>
      <c r="C10" s="9">
        <v>20180111346</v>
      </c>
      <c r="D10" s="10">
        <v>34822</v>
      </c>
      <c r="E10" s="10">
        <v>43101</v>
      </c>
      <c r="F10" s="9" t="s">
        <v>24</v>
      </c>
      <c r="G10" s="11" t="s">
        <v>174</v>
      </c>
      <c r="H10" s="9" t="s">
        <v>21</v>
      </c>
      <c r="I10" s="9">
        <v>37.5</v>
      </c>
      <c r="J10" s="9">
        <v>25.52</v>
      </c>
      <c r="K10" s="18"/>
      <c r="L10" s="24">
        <v>3.66</v>
      </c>
      <c r="M10" s="9"/>
      <c r="N10" s="36" t="s">
        <v>210</v>
      </c>
      <c r="O10" s="9">
        <v>0</v>
      </c>
      <c r="P10" s="9">
        <v>0.74</v>
      </c>
      <c r="Q10" s="9"/>
      <c r="R10" s="18"/>
      <c r="S10" s="9"/>
      <c r="T10" s="9"/>
      <c r="U10" s="9"/>
    </row>
    <row r="11" spans="1:2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s="23" customFormat="1" x14ac:dyDescent="0.3">
      <c r="A12" s="84" t="s">
        <v>175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6"/>
    </row>
    <row r="13" spans="1:21" s="23" customFormat="1" ht="46.8" x14ac:dyDescent="0.3">
      <c r="A13" s="24">
        <v>1</v>
      </c>
      <c r="B13" s="24" t="s">
        <v>194</v>
      </c>
      <c r="C13" s="24">
        <v>20140103298</v>
      </c>
      <c r="D13" s="25">
        <v>31373</v>
      </c>
      <c r="E13" s="25">
        <v>41640</v>
      </c>
      <c r="F13" s="26" t="s">
        <v>161</v>
      </c>
      <c r="G13" s="26" t="s">
        <v>195</v>
      </c>
      <c r="H13" s="24" t="s">
        <v>211</v>
      </c>
      <c r="I13" s="24">
        <v>40.200000000000003</v>
      </c>
      <c r="J13" s="24">
        <v>29.28</v>
      </c>
      <c r="K13" s="24"/>
      <c r="L13" s="24">
        <v>3.63</v>
      </c>
      <c r="M13" s="24"/>
      <c r="N13" s="46" t="s">
        <v>215</v>
      </c>
      <c r="O13" s="24">
        <v>1.5</v>
      </c>
      <c r="P13" s="24">
        <v>2.4700000000000002</v>
      </c>
      <c r="Q13" s="24"/>
      <c r="R13" s="24"/>
      <c r="S13" s="24"/>
      <c r="T13" s="24"/>
      <c r="U13" s="24"/>
    </row>
    <row r="15" spans="1:21" x14ac:dyDescent="0.3">
      <c r="A15" s="84" t="s">
        <v>176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6"/>
    </row>
    <row r="16" spans="1:21" ht="46.8" x14ac:dyDescent="0.3">
      <c r="A16" s="24">
        <v>1</v>
      </c>
      <c r="B16" s="24" t="s">
        <v>187</v>
      </c>
      <c r="C16" s="37">
        <v>20150105121</v>
      </c>
      <c r="D16" s="25">
        <v>32229</v>
      </c>
      <c r="E16" s="28">
        <v>42005</v>
      </c>
      <c r="F16" s="24" t="s">
        <v>161</v>
      </c>
      <c r="G16" s="26" t="s">
        <v>186</v>
      </c>
      <c r="H16" s="24" t="s">
        <v>211</v>
      </c>
      <c r="I16" s="24">
        <v>32.700000000000003</v>
      </c>
      <c r="J16" s="24">
        <v>31.28</v>
      </c>
      <c r="K16" s="24"/>
      <c r="L16" s="24">
        <v>2.68</v>
      </c>
      <c r="N16" s="36" t="s">
        <v>216</v>
      </c>
      <c r="O16" s="24">
        <v>1</v>
      </c>
      <c r="P16" s="24">
        <v>2.02</v>
      </c>
      <c r="Q16" s="24"/>
      <c r="R16" s="24"/>
      <c r="S16" s="24"/>
      <c r="T16" s="24"/>
      <c r="U16" s="24"/>
    </row>
    <row r="17" spans="1:21" x14ac:dyDescent="0.3">
      <c r="A17" s="24">
        <v>2</v>
      </c>
      <c r="B17" s="24"/>
      <c r="C17" s="9"/>
      <c r="D17" s="24"/>
      <c r="E17" s="25"/>
      <c r="F17" s="24"/>
      <c r="G17" s="26"/>
      <c r="H17" s="24"/>
      <c r="I17" s="24"/>
      <c r="J17" s="24"/>
      <c r="K17" s="27"/>
      <c r="L17" s="24"/>
      <c r="M17" s="27"/>
      <c r="N17" s="26"/>
      <c r="O17" s="24"/>
      <c r="P17" s="24"/>
      <c r="Q17" s="24"/>
      <c r="R17" s="27"/>
      <c r="S17" s="24"/>
      <c r="T17" s="24"/>
      <c r="U17" s="24"/>
    </row>
    <row r="18" spans="1:21" x14ac:dyDescent="0.3">
      <c r="A18" s="84" t="s">
        <v>177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6"/>
    </row>
    <row r="19" spans="1:21" ht="46.8" x14ac:dyDescent="0.3">
      <c r="A19" s="9">
        <v>1</v>
      </c>
      <c r="B19" s="11" t="s">
        <v>71</v>
      </c>
      <c r="C19" s="11">
        <v>20160707311</v>
      </c>
      <c r="D19" s="10">
        <v>32341</v>
      </c>
      <c r="E19" s="10">
        <v>42552</v>
      </c>
      <c r="F19" s="9" t="s">
        <v>24</v>
      </c>
      <c r="G19" s="11" t="s">
        <v>72</v>
      </c>
      <c r="H19" s="9" t="s">
        <v>211</v>
      </c>
      <c r="I19" s="9">
        <v>41.76</v>
      </c>
      <c r="J19" s="9">
        <v>21.92</v>
      </c>
      <c r="K19" s="9"/>
      <c r="L19" s="9">
        <v>2.71</v>
      </c>
      <c r="N19" s="36" t="s">
        <v>207</v>
      </c>
      <c r="O19" s="9">
        <v>0</v>
      </c>
      <c r="P19" s="24">
        <v>1.49</v>
      </c>
      <c r="Q19" s="9"/>
      <c r="R19" s="9"/>
      <c r="S19" s="9"/>
      <c r="T19" s="9"/>
      <c r="U19" s="9"/>
    </row>
    <row r="20" spans="1:21" x14ac:dyDescent="0.3">
      <c r="A20" s="9"/>
      <c r="B20" s="9"/>
      <c r="C20" s="9"/>
      <c r="D20" s="9"/>
      <c r="E20" s="10"/>
      <c r="F20" s="9"/>
      <c r="G20" s="11"/>
      <c r="H20" s="9"/>
      <c r="I20" s="9"/>
      <c r="J20" s="9"/>
      <c r="K20" s="18"/>
      <c r="L20" s="9"/>
      <c r="M20" s="18"/>
      <c r="N20" s="11"/>
      <c r="O20" s="9"/>
      <c r="P20" s="9"/>
      <c r="Q20" s="9"/>
      <c r="R20" s="9"/>
      <c r="S20" s="9"/>
      <c r="T20" s="9"/>
      <c r="U20" s="9"/>
    </row>
    <row r="21" spans="1:21" x14ac:dyDescent="0.3">
      <c r="A21" s="84" t="s">
        <v>178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6"/>
    </row>
    <row r="22" spans="1:21" ht="31.2" x14ac:dyDescent="0.3">
      <c r="A22" s="9">
        <v>1</v>
      </c>
      <c r="B22" s="11" t="s">
        <v>189</v>
      </c>
      <c r="C22" s="9">
        <v>20180711995</v>
      </c>
      <c r="D22" s="29">
        <v>33786</v>
      </c>
      <c r="E22" s="30">
        <v>43282</v>
      </c>
      <c r="F22" s="11" t="s">
        <v>24</v>
      </c>
      <c r="G22" s="9" t="s">
        <v>174</v>
      </c>
      <c r="H22" s="9" t="s">
        <v>211</v>
      </c>
      <c r="I22" s="9">
        <v>33</v>
      </c>
      <c r="J22" s="9">
        <v>28.16</v>
      </c>
      <c r="K22" s="9"/>
      <c r="L22" s="43">
        <v>3.9</v>
      </c>
      <c r="M22" s="18"/>
      <c r="N22" s="11" t="s">
        <v>217</v>
      </c>
      <c r="O22" s="9">
        <v>0</v>
      </c>
      <c r="P22" s="9">
        <v>0.49</v>
      </c>
      <c r="Q22" s="9"/>
      <c r="R22" s="18"/>
      <c r="S22" s="9"/>
      <c r="T22" s="9"/>
      <c r="U22" s="9"/>
    </row>
    <row r="23" spans="1:21" ht="46.8" x14ac:dyDescent="0.3">
      <c r="A23" s="9">
        <v>2</v>
      </c>
      <c r="B23" s="11" t="s">
        <v>190</v>
      </c>
      <c r="C23" s="9">
        <v>20180111352</v>
      </c>
      <c r="D23" s="29">
        <v>32804</v>
      </c>
      <c r="E23" s="30">
        <v>43101</v>
      </c>
      <c r="F23" s="11" t="s">
        <v>24</v>
      </c>
      <c r="G23" s="31" t="s">
        <v>191</v>
      </c>
      <c r="H23" s="9" t="s">
        <v>211</v>
      </c>
      <c r="I23" s="9">
        <v>33</v>
      </c>
      <c r="J23" s="9">
        <v>31.36</v>
      </c>
      <c r="K23" s="9"/>
      <c r="L23" s="9">
        <v>3.96</v>
      </c>
      <c r="M23" s="18"/>
      <c r="N23" s="36" t="s">
        <v>210</v>
      </c>
      <c r="O23" s="9">
        <v>0</v>
      </c>
      <c r="P23" s="24">
        <v>0.9</v>
      </c>
      <c r="Q23" s="9"/>
      <c r="R23" s="18"/>
      <c r="S23" s="9"/>
      <c r="T23" s="9"/>
      <c r="U23" s="9"/>
    </row>
    <row r="24" spans="1:21" ht="46.8" x14ac:dyDescent="0.3">
      <c r="A24" s="9">
        <v>3</v>
      </c>
      <c r="B24" s="11" t="s">
        <v>88</v>
      </c>
      <c r="C24" s="9">
        <v>20170107840</v>
      </c>
      <c r="D24" s="29">
        <v>33327</v>
      </c>
      <c r="E24" s="30">
        <v>42736</v>
      </c>
      <c r="F24" s="11" t="s">
        <v>24</v>
      </c>
      <c r="G24" s="11" t="s">
        <v>198</v>
      </c>
      <c r="H24" s="9" t="s">
        <v>211</v>
      </c>
      <c r="I24" s="9">
        <v>36.36</v>
      </c>
      <c r="J24" s="9">
        <v>33.6</v>
      </c>
      <c r="K24" s="9"/>
      <c r="L24" s="9">
        <v>3.88</v>
      </c>
      <c r="M24" s="18"/>
      <c r="N24" s="36" t="s">
        <v>218</v>
      </c>
      <c r="O24" s="9">
        <v>0</v>
      </c>
      <c r="P24" s="9">
        <v>1.1200000000000001</v>
      </c>
      <c r="Q24" s="9"/>
      <c r="R24" s="18"/>
      <c r="S24" s="9"/>
      <c r="T24" s="9"/>
      <c r="U24" s="9"/>
    </row>
    <row r="25" spans="1:21" ht="46.8" x14ac:dyDescent="0.3">
      <c r="A25" s="9">
        <v>4</v>
      </c>
      <c r="B25" s="9" t="s">
        <v>94</v>
      </c>
      <c r="C25" s="9">
        <v>20170107949</v>
      </c>
      <c r="D25" s="10">
        <v>32717</v>
      </c>
      <c r="E25" s="10">
        <v>42736</v>
      </c>
      <c r="F25" s="9" t="s">
        <v>24</v>
      </c>
      <c r="G25" s="11" t="s">
        <v>203</v>
      </c>
      <c r="H25" s="9" t="s">
        <v>211</v>
      </c>
      <c r="I25" s="9">
        <v>44.1</v>
      </c>
      <c r="J25" s="9">
        <v>33.92</v>
      </c>
      <c r="K25" s="9"/>
      <c r="L25" s="9">
        <v>2.78</v>
      </c>
      <c r="M25" s="18"/>
      <c r="N25" s="36" t="s">
        <v>218</v>
      </c>
      <c r="O25" s="9">
        <v>0</v>
      </c>
      <c r="P25" s="9">
        <v>1.24</v>
      </c>
      <c r="Q25" s="9"/>
      <c r="R25" s="18"/>
      <c r="S25" s="9"/>
      <c r="T25" s="9"/>
      <c r="U25" s="9"/>
    </row>
    <row r="26" spans="1:21" x14ac:dyDescent="0.3">
      <c r="A26" s="84" t="s">
        <v>179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6"/>
    </row>
    <row r="27" spans="1:21" ht="46.8" x14ac:dyDescent="0.3">
      <c r="A27" s="9">
        <v>1</v>
      </c>
      <c r="B27" s="11" t="s">
        <v>192</v>
      </c>
      <c r="C27" s="9">
        <v>20180111295</v>
      </c>
      <c r="D27" s="29">
        <v>33767</v>
      </c>
      <c r="E27" s="30">
        <v>43101</v>
      </c>
      <c r="F27" s="11" t="s">
        <v>24</v>
      </c>
      <c r="G27" s="11" t="s">
        <v>193</v>
      </c>
      <c r="H27" s="9" t="s">
        <v>211</v>
      </c>
      <c r="I27" s="9">
        <v>33.72</v>
      </c>
      <c r="J27" s="9">
        <v>32.32</v>
      </c>
      <c r="K27" s="9"/>
      <c r="L27" s="9">
        <v>2.57</v>
      </c>
      <c r="M27" s="18"/>
      <c r="N27" s="36" t="s">
        <v>210</v>
      </c>
      <c r="O27" s="9">
        <v>0</v>
      </c>
      <c r="P27" s="9">
        <v>0</v>
      </c>
      <c r="Q27" s="9"/>
      <c r="R27" s="18"/>
      <c r="S27" s="9"/>
      <c r="T27" s="9"/>
      <c r="U27" s="9"/>
    </row>
    <row r="28" spans="1:21" x14ac:dyDescent="0.3">
      <c r="A28" s="9"/>
      <c r="B28" s="9"/>
      <c r="C28" s="9"/>
      <c r="D28" s="10"/>
      <c r="E28" s="10"/>
      <c r="F28" s="9"/>
      <c r="G28" s="11"/>
      <c r="H28" s="9"/>
      <c r="I28" s="9"/>
      <c r="J28" s="9"/>
      <c r="K28" s="18"/>
      <c r="L28" s="9"/>
      <c r="M28" s="18"/>
      <c r="N28" s="11"/>
      <c r="O28" s="9"/>
      <c r="P28" s="9"/>
      <c r="Q28" s="9"/>
      <c r="R28" s="18"/>
      <c r="S28" s="9"/>
      <c r="T28" s="9"/>
      <c r="U28" s="9"/>
    </row>
    <row r="29" spans="1:21" x14ac:dyDescent="0.3">
      <c r="A29" s="9"/>
      <c r="B29" s="9"/>
      <c r="C29" s="9"/>
      <c r="D29" s="10"/>
      <c r="E29" s="10"/>
      <c r="F29" s="9"/>
      <c r="G29" s="11"/>
      <c r="H29" s="9"/>
      <c r="I29" s="9"/>
      <c r="J29" s="9"/>
      <c r="K29" s="18"/>
      <c r="L29" s="9"/>
      <c r="M29" s="18"/>
      <c r="N29" s="11"/>
      <c r="O29" s="9"/>
      <c r="P29" s="9"/>
      <c r="Q29" s="9"/>
      <c r="R29" s="18"/>
      <c r="S29" s="9"/>
      <c r="T29" s="9"/>
      <c r="U29" s="9"/>
    </row>
    <row r="30" spans="1:21" x14ac:dyDescent="0.3">
      <c r="A30" s="84" t="s">
        <v>180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6"/>
    </row>
    <row r="31" spans="1:21" ht="44.25" customHeight="1" x14ac:dyDescent="0.3">
      <c r="A31" s="9">
        <v>1</v>
      </c>
      <c r="B31" s="11" t="s">
        <v>196</v>
      </c>
      <c r="C31" s="9">
        <v>20170709551</v>
      </c>
      <c r="D31" s="10">
        <v>34048</v>
      </c>
      <c r="E31" s="10">
        <v>42917</v>
      </c>
      <c r="F31" s="9" t="s">
        <v>24</v>
      </c>
      <c r="G31" s="31" t="s">
        <v>197</v>
      </c>
      <c r="H31" s="9" t="s">
        <v>21</v>
      </c>
      <c r="I31" s="9">
        <v>40.619999999999997</v>
      </c>
      <c r="J31" s="9">
        <v>24.72</v>
      </c>
      <c r="K31" s="18"/>
      <c r="L31" s="24">
        <v>2.69</v>
      </c>
      <c r="M31" s="18"/>
      <c r="N31" s="36" t="s">
        <v>221</v>
      </c>
      <c r="O31" s="9">
        <v>0</v>
      </c>
      <c r="P31" s="9">
        <v>1.26</v>
      </c>
      <c r="Q31" s="9"/>
      <c r="R31" s="18"/>
      <c r="S31" s="9"/>
      <c r="T31" s="9"/>
      <c r="U31" s="9"/>
    </row>
    <row r="32" spans="1:21" ht="46.8" x14ac:dyDescent="0.3">
      <c r="A32" s="9">
        <v>2</v>
      </c>
      <c r="B32" s="34" t="s">
        <v>201</v>
      </c>
      <c r="C32" s="34">
        <v>20180111308</v>
      </c>
      <c r="D32" s="10">
        <v>34206</v>
      </c>
      <c r="E32" s="10">
        <v>43101</v>
      </c>
      <c r="F32" s="11" t="s">
        <v>24</v>
      </c>
      <c r="G32" s="11" t="s">
        <v>202</v>
      </c>
      <c r="H32" s="9" t="s">
        <v>21</v>
      </c>
      <c r="I32" s="18">
        <v>39.299999999999997</v>
      </c>
      <c r="J32" s="9">
        <v>23.68</v>
      </c>
      <c r="K32" s="18"/>
      <c r="L32" s="44"/>
      <c r="M32" s="18"/>
      <c r="N32" s="36" t="s">
        <v>210</v>
      </c>
      <c r="O32" s="9">
        <v>0</v>
      </c>
      <c r="P32" s="9">
        <v>0.75</v>
      </c>
      <c r="Q32" s="9"/>
      <c r="R32" s="18"/>
      <c r="S32" s="9"/>
      <c r="T32" s="9"/>
      <c r="U32" s="9"/>
    </row>
    <row r="33" spans="1:21" s="23" customFormat="1" ht="46.8" x14ac:dyDescent="0.3">
      <c r="A33" s="24">
        <v>3</v>
      </c>
      <c r="B33" s="39" t="s">
        <v>219</v>
      </c>
      <c r="C33" s="40">
        <v>20170709548</v>
      </c>
      <c r="D33" s="25">
        <v>33654</v>
      </c>
      <c r="E33" s="25">
        <v>42917</v>
      </c>
      <c r="F33" s="41" t="s">
        <v>24</v>
      </c>
      <c r="G33" s="26" t="s">
        <v>220</v>
      </c>
      <c r="H33" s="24" t="s">
        <v>21</v>
      </c>
      <c r="I33" s="27">
        <v>37.200000000000003</v>
      </c>
      <c r="J33" s="24">
        <v>33.6</v>
      </c>
      <c r="K33" s="27"/>
      <c r="L33" s="27">
        <v>2.58</v>
      </c>
      <c r="M33" s="27"/>
      <c r="N33" s="42" t="s">
        <v>221</v>
      </c>
      <c r="O33" s="24">
        <v>0</v>
      </c>
      <c r="P33" s="24">
        <v>0</v>
      </c>
      <c r="Q33" s="24"/>
      <c r="R33" s="27"/>
      <c r="S33" s="24"/>
      <c r="T33" s="24"/>
      <c r="U33" s="24"/>
    </row>
    <row r="34" spans="1:21" ht="46.8" x14ac:dyDescent="0.3">
      <c r="A34" s="9">
        <v>4</v>
      </c>
      <c r="B34" s="11" t="s">
        <v>96</v>
      </c>
      <c r="C34" s="9">
        <v>20150705813</v>
      </c>
      <c r="D34" s="10">
        <v>31062</v>
      </c>
      <c r="E34" s="35">
        <v>42186</v>
      </c>
      <c r="F34" s="6" t="s">
        <v>24</v>
      </c>
      <c r="G34" s="11" t="s">
        <v>204</v>
      </c>
      <c r="H34" s="9" t="s">
        <v>21</v>
      </c>
      <c r="I34" s="18">
        <v>32.700000000000003</v>
      </c>
      <c r="J34" s="9">
        <v>28.16</v>
      </c>
      <c r="K34" s="18"/>
      <c r="L34" s="9">
        <v>3.37</v>
      </c>
      <c r="M34" s="18"/>
      <c r="N34" s="42" t="s">
        <v>222</v>
      </c>
      <c r="O34" s="24">
        <v>1</v>
      </c>
      <c r="P34" s="9">
        <v>2.2000000000000002</v>
      </c>
      <c r="Q34" s="9"/>
      <c r="R34" s="18"/>
      <c r="S34" s="9"/>
      <c r="T34" s="9"/>
      <c r="U34" s="9"/>
    </row>
    <row r="35" spans="1:21" x14ac:dyDescent="0.3">
      <c r="A35" s="84" t="s">
        <v>181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6"/>
    </row>
    <row r="36" spans="1:21" ht="31.2" hidden="1" x14ac:dyDescent="0.3">
      <c r="A36" s="9">
        <v>1</v>
      </c>
      <c r="B36" s="9" t="s">
        <v>18</v>
      </c>
      <c r="C36" s="9">
        <v>20160106552</v>
      </c>
      <c r="D36" s="10">
        <v>33318</v>
      </c>
      <c r="E36" s="10">
        <v>42370</v>
      </c>
      <c r="F36" s="11" t="s">
        <v>19</v>
      </c>
      <c r="G36" s="9" t="s">
        <v>20</v>
      </c>
      <c r="H36" s="9" t="s">
        <v>21</v>
      </c>
      <c r="I36" s="87" t="s">
        <v>116</v>
      </c>
      <c r="J36" s="88"/>
      <c r="K36" s="9"/>
      <c r="L36" s="9"/>
      <c r="M36" s="9"/>
      <c r="N36" s="11"/>
      <c r="O36" s="9"/>
      <c r="P36" s="9"/>
      <c r="Q36" s="9"/>
      <c r="R36" s="9"/>
      <c r="S36" s="9"/>
      <c r="T36" s="9"/>
      <c r="U36" s="9"/>
    </row>
    <row r="37" spans="1:21" ht="31.2" hidden="1" x14ac:dyDescent="0.3">
      <c r="A37" s="9">
        <v>2</v>
      </c>
      <c r="B37" s="11" t="s">
        <v>22</v>
      </c>
      <c r="C37" s="9">
        <v>20170107956</v>
      </c>
      <c r="D37" s="10">
        <v>33943</v>
      </c>
      <c r="E37" s="10">
        <v>42736</v>
      </c>
      <c r="F37" s="9" t="s">
        <v>19</v>
      </c>
      <c r="G37" s="9" t="s">
        <v>20</v>
      </c>
      <c r="H37" s="9" t="s">
        <v>21</v>
      </c>
      <c r="I37" s="89"/>
      <c r="J37" s="90"/>
      <c r="K37" s="9"/>
      <c r="L37" s="9"/>
      <c r="M37" s="9"/>
      <c r="N37" s="11"/>
      <c r="O37" s="9"/>
      <c r="P37" s="9"/>
      <c r="Q37" s="9"/>
      <c r="R37" s="9"/>
      <c r="S37" s="9"/>
      <c r="T37" s="9"/>
      <c r="U37" s="9"/>
    </row>
    <row r="38" spans="1:21" ht="31.2" hidden="1" x14ac:dyDescent="0.3">
      <c r="A38" s="9">
        <v>3</v>
      </c>
      <c r="B38" s="11" t="s">
        <v>25</v>
      </c>
      <c r="C38" s="9">
        <v>20160106550</v>
      </c>
      <c r="D38" s="10" t="s">
        <v>26</v>
      </c>
      <c r="E38" s="10">
        <v>42370</v>
      </c>
      <c r="F38" s="9" t="s">
        <v>19</v>
      </c>
      <c r="G38" s="9" t="s">
        <v>20</v>
      </c>
      <c r="H38" s="9" t="s">
        <v>21</v>
      </c>
      <c r="I38" s="91"/>
      <c r="J38" s="92"/>
      <c r="K38" s="9"/>
      <c r="L38" s="9"/>
      <c r="M38" s="9"/>
      <c r="N38" s="11"/>
      <c r="O38" s="9"/>
      <c r="P38" s="9"/>
      <c r="Q38" s="9"/>
      <c r="R38" s="9"/>
      <c r="S38" s="9"/>
      <c r="T38" s="9"/>
      <c r="U38" s="9"/>
    </row>
    <row r="39" spans="1:21" ht="46.8" x14ac:dyDescent="0.3">
      <c r="A39" s="9">
        <v>1</v>
      </c>
      <c r="B39" s="11" t="s">
        <v>206</v>
      </c>
      <c r="C39" s="9">
        <v>20160707295</v>
      </c>
      <c r="D39" s="10">
        <v>32732</v>
      </c>
      <c r="E39" s="10">
        <v>42552</v>
      </c>
      <c r="F39" s="11" t="s">
        <v>24</v>
      </c>
      <c r="G39" s="31" t="s">
        <v>191</v>
      </c>
      <c r="H39" s="9" t="s">
        <v>21</v>
      </c>
      <c r="I39" s="18">
        <v>41.7</v>
      </c>
      <c r="J39" s="18">
        <v>30.32</v>
      </c>
      <c r="K39" s="18"/>
      <c r="L39" s="18">
        <v>3.66</v>
      </c>
      <c r="M39" s="18"/>
      <c r="N39" s="36" t="s">
        <v>207</v>
      </c>
      <c r="O39" s="9">
        <v>0</v>
      </c>
      <c r="P39" s="45">
        <v>1.67</v>
      </c>
      <c r="Q39" s="9"/>
      <c r="R39" s="18"/>
      <c r="S39" s="9"/>
      <c r="T39" s="9"/>
      <c r="U39" s="9"/>
    </row>
    <row r="40" spans="1:21" x14ac:dyDescent="0.3">
      <c r="A40" s="9"/>
      <c r="B40" s="9"/>
      <c r="C40" s="9"/>
      <c r="D40" s="10"/>
      <c r="E40" s="10"/>
      <c r="F40" s="9"/>
      <c r="G40" s="11"/>
      <c r="H40" s="9"/>
      <c r="I40" s="18"/>
      <c r="J40" s="18"/>
      <c r="K40" s="18"/>
      <c r="L40" s="18"/>
      <c r="M40" s="18"/>
      <c r="N40" s="11"/>
      <c r="O40" s="9"/>
      <c r="P40" s="9"/>
      <c r="Q40" s="9"/>
      <c r="R40" s="18"/>
      <c r="S40" s="9"/>
      <c r="T40" s="9"/>
      <c r="U40" s="9"/>
    </row>
    <row r="41" spans="1:21" x14ac:dyDescent="0.3">
      <c r="A41" s="84" t="s">
        <v>182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6"/>
    </row>
    <row r="42" spans="1:21" ht="46.8" x14ac:dyDescent="0.3">
      <c r="A42" s="9">
        <v>1</v>
      </c>
      <c r="B42" s="34" t="s">
        <v>183</v>
      </c>
      <c r="C42" s="34">
        <v>20150705824</v>
      </c>
      <c r="D42" s="10">
        <v>32424</v>
      </c>
      <c r="E42" s="10">
        <v>42186</v>
      </c>
      <c r="F42" s="9" t="s">
        <v>24</v>
      </c>
      <c r="G42" s="11" t="s">
        <v>184</v>
      </c>
      <c r="H42" s="9" t="s">
        <v>21</v>
      </c>
      <c r="I42" s="9">
        <v>32.700000000000003</v>
      </c>
      <c r="J42" s="9">
        <v>32.479999999999997</v>
      </c>
      <c r="K42" s="18"/>
      <c r="L42" s="9">
        <v>3.28</v>
      </c>
      <c r="M42" s="9"/>
      <c r="N42" s="42" t="s">
        <v>222</v>
      </c>
      <c r="O42" s="24">
        <v>1</v>
      </c>
      <c r="P42" s="9">
        <v>0.55000000000000004</v>
      </c>
      <c r="Q42" s="9"/>
      <c r="R42" s="18"/>
      <c r="S42" s="9"/>
      <c r="T42" s="9"/>
      <c r="U42" s="9"/>
    </row>
    <row r="43" spans="1:21" ht="46.8" x14ac:dyDescent="0.3">
      <c r="A43" s="32">
        <v>2</v>
      </c>
      <c r="B43" s="11" t="s">
        <v>185</v>
      </c>
      <c r="C43" s="34">
        <v>20150105122</v>
      </c>
      <c r="D43" s="10">
        <v>31732</v>
      </c>
      <c r="E43" s="10">
        <v>42005</v>
      </c>
      <c r="F43" s="9" t="s">
        <v>161</v>
      </c>
      <c r="G43" s="11" t="s">
        <v>186</v>
      </c>
      <c r="H43" s="9" t="s">
        <v>21</v>
      </c>
      <c r="I43" s="9">
        <v>32.700000000000003</v>
      </c>
      <c r="J43" s="32">
        <v>31.36</v>
      </c>
      <c r="K43" s="33"/>
      <c r="L43" s="32">
        <v>2.68</v>
      </c>
      <c r="M43" s="33"/>
      <c r="N43" s="36" t="s">
        <v>223</v>
      </c>
      <c r="O43" s="32">
        <v>1</v>
      </c>
      <c r="P43" s="32">
        <v>1.8</v>
      </c>
      <c r="Q43" s="32"/>
      <c r="R43" s="33"/>
      <c r="S43" s="32"/>
      <c r="T43" s="32"/>
      <c r="U43" s="32"/>
    </row>
    <row r="44" spans="1:21" ht="46.8" x14ac:dyDescent="0.3">
      <c r="A44" s="9">
        <v>3</v>
      </c>
      <c r="B44" s="9" t="s">
        <v>188</v>
      </c>
      <c r="C44" s="9">
        <v>20170709564</v>
      </c>
      <c r="D44" s="10">
        <v>32509</v>
      </c>
      <c r="E44" s="10">
        <v>42917</v>
      </c>
      <c r="F44" s="9" t="s">
        <v>24</v>
      </c>
      <c r="G44" s="11" t="s">
        <v>72</v>
      </c>
      <c r="H44" s="9" t="s">
        <v>21</v>
      </c>
      <c r="I44" s="9">
        <v>32.700000000000003</v>
      </c>
      <c r="J44" s="9">
        <v>34.24</v>
      </c>
      <c r="K44" s="9"/>
      <c r="L44" s="9">
        <v>2.33</v>
      </c>
      <c r="M44" s="9"/>
      <c r="N44" s="36" t="s">
        <v>221</v>
      </c>
      <c r="O44" s="9">
        <v>0</v>
      </c>
      <c r="P44" s="19">
        <v>0.99</v>
      </c>
      <c r="Q44" s="9"/>
      <c r="R44" s="9"/>
      <c r="S44" s="9"/>
      <c r="T44" s="9"/>
      <c r="U44" s="9"/>
    </row>
    <row r="45" spans="1:21" ht="46.8" x14ac:dyDescent="0.3">
      <c r="A45" s="9">
        <v>4</v>
      </c>
      <c r="B45" s="34" t="s">
        <v>199</v>
      </c>
      <c r="C45" s="9">
        <v>20160106514</v>
      </c>
      <c r="D45" s="10">
        <v>32570</v>
      </c>
      <c r="E45" s="10">
        <v>42370</v>
      </c>
      <c r="F45" s="9" t="s">
        <v>24</v>
      </c>
      <c r="G45" s="11" t="s">
        <v>200</v>
      </c>
      <c r="H45" s="9" t="s">
        <v>21</v>
      </c>
      <c r="I45" s="9">
        <v>41.82</v>
      </c>
      <c r="J45" s="9">
        <v>31.76</v>
      </c>
      <c r="K45" s="9"/>
      <c r="L45" s="9">
        <v>3.08</v>
      </c>
      <c r="M45" s="9"/>
      <c r="N45" s="36" t="s">
        <v>225</v>
      </c>
      <c r="O45" s="9">
        <v>0</v>
      </c>
      <c r="P45" s="9">
        <v>1.47</v>
      </c>
      <c r="Q45" s="9"/>
      <c r="R45" s="9"/>
      <c r="S45" s="9"/>
      <c r="T45" s="9"/>
      <c r="U45" s="9"/>
    </row>
    <row r="46" spans="1:21" ht="46.8" x14ac:dyDescent="0.3">
      <c r="A46" s="9">
        <v>5</v>
      </c>
      <c r="B46" s="9" t="s">
        <v>79</v>
      </c>
      <c r="C46" s="9">
        <v>20170709558</v>
      </c>
      <c r="D46" s="10">
        <v>33707</v>
      </c>
      <c r="E46" s="10">
        <v>42917</v>
      </c>
      <c r="F46" s="9" t="s">
        <v>24</v>
      </c>
      <c r="G46" s="38" t="s">
        <v>205</v>
      </c>
      <c r="H46" s="9" t="s">
        <v>21</v>
      </c>
      <c r="I46" s="9">
        <v>37.200000000000003</v>
      </c>
      <c r="J46" s="9">
        <v>34.64</v>
      </c>
      <c r="K46" s="9"/>
      <c r="L46" s="9">
        <v>4</v>
      </c>
      <c r="M46" s="9"/>
      <c r="N46" s="36" t="s">
        <v>224</v>
      </c>
      <c r="O46" s="9">
        <v>0</v>
      </c>
      <c r="P46" s="9">
        <v>0.15</v>
      </c>
      <c r="Q46" s="9"/>
      <c r="R46" s="9"/>
      <c r="S46" s="9"/>
      <c r="T46" s="9"/>
      <c r="U46" s="9"/>
    </row>
  </sheetData>
  <mergeCells count="13">
    <mergeCell ref="A41:U41"/>
    <mergeCell ref="I36:J38"/>
    <mergeCell ref="A18:U18"/>
    <mergeCell ref="A21:U21"/>
    <mergeCell ref="A26:U26"/>
    <mergeCell ref="A30:U30"/>
    <mergeCell ref="A35:U35"/>
    <mergeCell ref="I1:J1"/>
    <mergeCell ref="A3:U3"/>
    <mergeCell ref="A9:U9"/>
    <mergeCell ref="A12:U12"/>
    <mergeCell ref="A15:U15"/>
    <mergeCell ref="A6:U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6" sqref="C6"/>
    </sheetView>
  </sheetViews>
  <sheetFormatPr defaultRowHeight="14.4" x14ac:dyDescent="0.3"/>
  <cols>
    <col min="1" max="1" width="5.109375" customWidth="1"/>
    <col min="2" max="2" width="22.6640625" customWidth="1"/>
    <col min="3" max="3" width="29.109375" customWidth="1"/>
  </cols>
  <sheetData>
    <row r="1" spans="1:4" x14ac:dyDescent="0.3">
      <c r="A1" t="s">
        <v>131</v>
      </c>
    </row>
    <row r="2" spans="1:4" x14ac:dyDescent="0.3">
      <c r="B2" t="s">
        <v>132</v>
      </c>
      <c r="C2" t="s">
        <v>133</v>
      </c>
    </row>
    <row r="3" spans="1:4" x14ac:dyDescent="0.3">
      <c r="A3">
        <v>1</v>
      </c>
      <c r="B3" t="s">
        <v>134</v>
      </c>
      <c r="C3" t="s">
        <v>135</v>
      </c>
    </row>
    <row r="4" spans="1:4" x14ac:dyDescent="0.3">
      <c r="A4" s="93" t="s">
        <v>136</v>
      </c>
      <c r="B4" s="93"/>
      <c r="C4" s="93"/>
      <c r="D4" s="93"/>
    </row>
    <row r="5" spans="1:4" ht="46.8" x14ac:dyDescent="0.3">
      <c r="A5" s="14"/>
      <c r="B5" s="15" t="s">
        <v>132</v>
      </c>
      <c r="C5" s="15" t="s">
        <v>133</v>
      </c>
      <c r="D5" s="14"/>
    </row>
    <row r="6" spans="1:4" x14ac:dyDescent="0.3">
      <c r="A6">
        <v>2</v>
      </c>
      <c r="B6" t="s">
        <v>137</v>
      </c>
      <c r="C6" t="s">
        <v>138</v>
      </c>
    </row>
    <row r="7" spans="1:4" x14ac:dyDescent="0.3">
      <c r="A7">
        <v>3</v>
      </c>
      <c r="B7" t="s">
        <v>139</v>
      </c>
      <c r="C7" t="s">
        <v>140</v>
      </c>
    </row>
    <row r="8" spans="1:4" x14ac:dyDescent="0.3">
      <c r="A8">
        <v>4</v>
      </c>
      <c r="B8" t="s">
        <v>141</v>
      </c>
      <c r="C8" t="s">
        <v>142</v>
      </c>
    </row>
    <row r="9" spans="1:4" x14ac:dyDescent="0.3">
      <c r="A9">
        <v>5</v>
      </c>
      <c r="B9" t="s">
        <v>143</v>
      </c>
      <c r="C9" t="s">
        <v>144</v>
      </c>
    </row>
    <row r="10" spans="1:4" x14ac:dyDescent="0.3">
      <c r="A10">
        <v>6</v>
      </c>
      <c r="B10" t="s">
        <v>145</v>
      </c>
      <c r="C10" t="s">
        <v>146</v>
      </c>
    </row>
    <row r="11" spans="1:4" x14ac:dyDescent="0.3">
      <c r="A11">
        <v>7</v>
      </c>
      <c r="B11" t="s">
        <v>147</v>
      </c>
      <c r="C11" t="s">
        <v>148</v>
      </c>
    </row>
    <row r="12" spans="1:4" x14ac:dyDescent="0.3">
      <c r="A12">
        <v>8</v>
      </c>
      <c r="B12" t="s">
        <v>149</v>
      </c>
      <c r="C12" t="s">
        <v>150</v>
      </c>
    </row>
    <row r="13" spans="1:4" x14ac:dyDescent="0.3">
      <c r="A13">
        <v>9</v>
      </c>
      <c r="B13" t="s">
        <v>151</v>
      </c>
      <c r="C13" t="s">
        <v>152</v>
      </c>
    </row>
    <row r="14" spans="1:4" x14ac:dyDescent="0.3">
      <c r="A14">
        <v>10</v>
      </c>
      <c r="B14" t="s">
        <v>153</v>
      </c>
      <c r="C14" t="s">
        <v>154</v>
      </c>
    </row>
    <row r="17" spans="1:5" x14ac:dyDescent="0.3">
      <c r="A17" s="94" t="s">
        <v>155</v>
      </c>
      <c r="B17" s="94"/>
      <c r="C17" s="94"/>
      <c r="D17" s="16"/>
      <c r="E17" s="16"/>
    </row>
  </sheetData>
  <mergeCells count="2">
    <mergeCell ref="A4:D4"/>
    <mergeCell ref="A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P63" sqref="P63"/>
    </sheetView>
  </sheetViews>
  <sheetFormatPr defaultColWidth="9.109375" defaultRowHeight="15.6" x14ac:dyDescent="0.3"/>
  <cols>
    <col min="1" max="1" width="6.44140625" style="6" customWidth="1"/>
    <col min="2" max="2" width="18" style="6" customWidth="1"/>
    <col min="3" max="3" width="16" style="6" customWidth="1"/>
    <col min="4" max="4" width="14.88671875" style="6" customWidth="1"/>
    <col min="5" max="5" width="14" style="6" customWidth="1"/>
    <col min="6" max="6" width="12.6640625" style="6" customWidth="1"/>
    <col min="7" max="7" width="11.6640625" style="6" customWidth="1"/>
    <col min="8" max="8" width="11" style="6" customWidth="1"/>
    <col min="9" max="11" width="9.109375" style="6"/>
    <col min="12" max="12" width="6.44140625" style="6" customWidth="1"/>
    <col min="13" max="13" width="9.109375" style="6"/>
    <col min="14" max="14" width="11.88671875" style="6" customWidth="1"/>
    <col min="15" max="19" width="9.109375" style="6"/>
    <col min="20" max="20" width="11.109375" style="6" customWidth="1"/>
    <col min="21" max="16384" width="9.109375" style="6"/>
  </cols>
  <sheetData>
    <row r="1" spans="1:20" ht="62.4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83" t="s">
        <v>8</v>
      </c>
      <c r="J1" s="83"/>
      <c r="K1" s="3" t="s">
        <v>9</v>
      </c>
      <c r="L1" s="4" t="s">
        <v>10</v>
      </c>
      <c r="M1" s="3" t="s">
        <v>11</v>
      </c>
      <c r="N1" s="3" t="s">
        <v>12</v>
      </c>
      <c r="O1" s="3" t="s">
        <v>165</v>
      </c>
      <c r="P1" s="3" t="s">
        <v>166</v>
      </c>
      <c r="Q1" s="3" t="s">
        <v>167</v>
      </c>
      <c r="R1" s="3" t="s">
        <v>13</v>
      </c>
      <c r="S1" s="5" t="s">
        <v>14</v>
      </c>
      <c r="T1" s="2" t="s">
        <v>15</v>
      </c>
    </row>
    <row r="2" spans="1:20" ht="66.75" customHeight="1" x14ac:dyDescent="0.3">
      <c r="A2" s="7"/>
      <c r="B2" s="7"/>
      <c r="C2" s="7"/>
      <c r="D2" s="7"/>
      <c r="E2" s="7"/>
      <c r="F2" s="7"/>
      <c r="G2" s="7"/>
      <c r="H2" s="7"/>
      <c r="I2" s="8" t="s">
        <v>16</v>
      </c>
      <c r="J2" s="3" t="s">
        <v>17</v>
      </c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x14ac:dyDescent="0.3">
      <c r="A3" s="95" t="s">
        <v>41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7"/>
    </row>
    <row r="4" spans="1:20" ht="46.8" x14ac:dyDescent="0.3">
      <c r="A4" s="9">
        <v>1</v>
      </c>
      <c r="B4" s="9" t="s">
        <v>56</v>
      </c>
      <c r="C4" s="9">
        <v>20160707307</v>
      </c>
      <c r="D4" s="10">
        <v>32998</v>
      </c>
      <c r="E4" s="10">
        <v>42552</v>
      </c>
      <c r="F4" s="9" t="s">
        <v>24</v>
      </c>
      <c r="G4" s="11" t="s">
        <v>57</v>
      </c>
      <c r="H4" s="9" t="s">
        <v>21</v>
      </c>
      <c r="I4" s="18">
        <f>58.33/2</f>
        <v>29.164999999999999</v>
      </c>
      <c r="J4" s="9">
        <f>81.4/2</f>
        <v>40.700000000000003</v>
      </c>
      <c r="K4" s="18">
        <f>(I4+J4)/100*30</f>
        <v>20.959500000000002</v>
      </c>
      <c r="L4" s="9">
        <v>2.99</v>
      </c>
      <c r="M4" s="18">
        <f>L4/4*15</f>
        <v>11.2125</v>
      </c>
      <c r="N4" s="11" t="s">
        <v>117</v>
      </c>
      <c r="O4" s="9">
        <v>0</v>
      </c>
      <c r="P4" s="9">
        <v>0.87</v>
      </c>
      <c r="Q4" s="18">
        <f>K4+M4+O4+P4</f>
        <v>33.042000000000002</v>
      </c>
      <c r="R4" s="9"/>
      <c r="S4" s="9"/>
      <c r="T4" s="9"/>
    </row>
    <row r="5" spans="1:20" ht="46.8" x14ac:dyDescent="0.3">
      <c r="A5" s="9">
        <v>2</v>
      </c>
      <c r="B5" s="9" t="s">
        <v>71</v>
      </c>
      <c r="C5" s="9">
        <v>20160707311</v>
      </c>
      <c r="D5" s="10">
        <v>32341</v>
      </c>
      <c r="E5" s="10">
        <v>42552</v>
      </c>
      <c r="F5" s="9" t="s">
        <v>24</v>
      </c>
      <c r="G5" s="11" t="s">
        <v>72</v>
      </c>
      <c r="H5" s="9" t="s">
        <v>21</v>
      </c>
      <c r="I5" s="9">
        <f>69.58/2</f>
        <v>34.79</v>
      </c>
      <c r="J5" s="9">
        <f>54.8/2</f>
        <v>27.4</v>
      </c>
      <c r="K5" s="18">
        <f t="shared" ref="K5:K8" si="0">(I5+J5)/100*30</f>
        <v>18.657</v>
      </c>
      <c r="L5" s="19">
        <v>2</v>
      </c>
      <c r="M5" s="18">
        <f t="shared" ref="M5:M8" si="1">L5/4*15</f>
        <v>7.5</v>
      </c>
      <c r="N5" s="11" t="s">
        <v>117</v>
      </c>
      <c r="O5" s="9">
        <v>0</v>
      </c>
      <c r="P5" s="9">
        <v>0.79</v>
      </c>
      <c r="Q5" s="18">
        <f t="shared" ref="Q5:Q8" si="2">K5+M5+O5+P5</f>
        <v>26.946999999999999</v>
      </c>
      <c r="R5" s="9"/>
      <c r="S5" s="9"/>
      <c r="T5" s="9"/>
    </row>
    <row r="6" spans="1:20" ht="46.8" x14ac:dyDescent="0.3">
      <c r="A6" s="9">
        <v>3</v>
      </c>
      <c r="B6" s="11" t="s">
        <v>73</v>
      </c>
      <c r="C6" s="9">
        <v>20160707308</v>
      </c>
      <c r="D6" s="9" t="s">
        <v>74</v>
      </c>
      <c r="E6" s="10">
        <v>42552</v>
      </c>
      <c r="F6" s="9" t="s">
        <v>24</v>
      </c>
      <c r="G6" s="11" t="s">
        <v>75</v>
      </c>
      <c r="H6" s="9" t="s">
        <v>21</v>
      </c>
      <c r="I6" s="9">
        <f>62/2</f>
        <v>31</v>
      </c>
      <c r="J6" s="9">
        <f>77/2</f>
        <v>38.5</v>
      </c>
      <c r="K6" s="18">
        <f t="shared" si="0"/>
        <v>20.849999999999998</v>
      </c>
      <c r="L6" s="9">
        <v>4</v>
      </c>
      <c r="M6" s="18">
        <f t="shared" si="1"/>
        <v>15</v>
      </c>
      <c r="N6" s="11" t="s">
        <v>117</v>
      </c>
      <c r="O6" s="9">
        <v>0</v>
      </c>
      <c r="P6" s="9">
        <v>0.74</v>
      </c>
      <c r="Q6" s="18">
        <f t="shared" si="2"/>
        <v>36.589999999999996</v>
      </c>
      <c r="R6" s="9"/>
      <c r="S6" s="9"/>
      <c r="T6" s="9"/>
    </row>
    <row r="7" spans="1:20" ht="31.2" x14ac:dyDescent="0.3">
      <c r="A7" s="9">
        <v>4</v>
      </c>
      <c r="B7" s="11" t="s">
        <v>79</v>
      </c>
      <c r="C7" s="9">
        <v>20170709558</v>
      </c>
      <c r="D7" s="10">
        <v>33707</v>
      </c>
      <c r="E7" s="9" t="s">
        <v>110</v>
      </c>
      <c r="F7" s="9" t="s">
        <v>24</v>
      </c>
      <c r="G7" s="11" t="s">
        <v>81</v>
      </c>
      <c r="H7" s="9" t="s">
        <v>21</v>
      </c>
      <c r="I7" s="9">
        <f>62/2</f>
        <v>31</v>
      </c>
      <c r="J7" s="9">
        <f>98.6/2</f>
        <v>49.3</v>
      </c>
      <c r="K7" s="18">
        <f t="shared" si="0"/>
        <v>24.089999999999996</v>
      </c>
      <c r="L7" s="9">
        <v>3.9</v>
      </c>
      <c r="M7" s="18">
        <f t="shared" si="1"/>
        <v>14.625</v>
      </c>
      <c r="N7" s="11" t="s">
        <v>118</v>
      </c>
      <c r="O7" s="9">
        <v>0</v>
      </c>
      <c r="P7" s="9">
        <v>0</v>
      </c>
      <c r="Q7" s="18">
        <f t="shared" si="2"/>
        <v>38.714999999999996</v>
      </c>
      <c r="R7" s="9"/>
      <c r="S7" s="9"/>
      <c r="T7" s="9"/>
    </row>
    <row r="8" spans="1:20" ht="46.8" x14ac:dyDescent="0.3">
      <c r="A8" s="9">
        <v>5</v>
      </c>
      <c r="B8" s="11" t="s">
        <v>80</v>
      </c>
      <c r="C8" s="9">
        <v>20170709546</v>
      </c>
      <c r="D8" s="10" t="s">
        <v>82</v>
      </c>
      <c r="E8" s="10">
        <v>42917</v>
      </c>
      <c r="F8" s="9" t="s">
        <v>24</v>
      </c>
      <c r="G8" s="11" t="s">
        <v>111</v>
      </c>
      <c r="H8" s="9" t="s">
        <v>21</v>
      </c>
      <c r="I8" s="9">
        <f>59.5/2</f>
        <v>29.75</v>
      </c>
      <c r="J8" s="9">
        <f>79.6/2</f>
        <v>39.799999999999997</v>
      </c>
      <c r="K8" s="18">
        <f t="shared" si="0"/>
        <v>20.865000000000002</v>
      </c>
      <c r="L8" s="9">
        <v>3.9</v>
      </c>
      <c r="M8" s="18">
        <f t="shared" si="1"/>
        <v>14.625</v>
      </c>
      <c r="N8" s="11" t="s">
        <v>118</v>
      </c>
      <c r="O8" s="9">
        <v>0</v>
      </c>
      <c r="P8" s="9">
        <v>1.2E-2</v>
      </c>
      <c r="Q8" s="18">
        <f t="shared" si="2"/>
        <v>35.502000000000002</v>
      </c>
      <c r="R8" s="9"/>
      <c r="S8" s="9"/>
      <c r="T8" s="9"/>
    </row>
    <row r="9" spans="1:20" x14ac:dyDescent="0.3">
      <c r="A9" s="95" t="s">
        <v>42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7"/>
    </row>
    <row r="10" spans="1:20" ht="46.8" x14ac:dyDescent="0.3">
      <c r="A10" s="9">
        <v>1</v>
      </c>
      <c r="B10" s="9" t="s">
        <v>107</v>
      </c>
      <c r="C10" s="9">
        <v>20150105129</v>
      </c>
      <c r="D10" s="9" t="s">
        <v>108</v>
      </c>
      <c r="E10" s="9" t="s">
        <v>109</v>
      </c>
      <c r="F10" s="9" t="s">
        <v>24</v>
      </c>
      <c r="G10" s="11" t="s">
        <v>57</v>
      </c>
      <c r="H10" s="9" t="s">
        <v>21</v>
      </c>
      <c r="I10" s="9">
        <f>68.88/2</f>
        <v>34.44</v>
      </c>
      <c r="J10" s="9">
        <f>74.8/2</f>
        <v>37.4</v>
      </c>
      <c r="K10" s="18">
        <f>(I10+J10)/100*30</f>
        <v>21.552</v>
      </c>
      <c r="L10" s="9">
        <f>7.36/2</f>
        <v>3.68</v>
      </c>
      <c r="M10" s="9">
        <f>L10/4*15</f>
        <v>13.8</v>
      </c>
      <c r="N10" s="11" t="s">
        <v>119</v>
      </c>
      <c r="O10" s="9">
        <v>0</v>
      </c>
      <c r="P10" s="9">
        <v>1.62</v>
      </c>
      <c r="Q10" s="18">
        <f>K10+M10+O10+P10</f>
        <v>36.972000000000001</v>
      </c>
      <c r="R10" s="9"/>
      <c r="S10" s="9"/>
      <c r="T10" s="9"/>
    </row>
    <row r="11" spans="1:20" ht="31.2" x14ac:dyDescent="0.3">
      <c r="A11" s="9">
        <v>2</v>
      </c>
      <c r="B11" s="9" t="s">
        <v>114</v>
      </c>
      <c r="C11" s="9">
        <v>20170709562</v>
      </c>
      <c r="D11" s="10">
        <v>33784</v>
      </c>
      <c r="E11" s="10">
        <v>42917</v>
      </c>
      <c r="F11" s="9" t="s">
        <v>24</v>
      </c>
      <c r="G11" s="9" t="s">
        <v>115</v>
      </c>
      <c r="H11" s="9" t="s">
        <v>21</v>
      </c>
      <c r="I11" s="9">
        <f>68.65/2</f>
        <v>34.325000000000003</v>
      </c>
      <c r="J11" s="9">
        <f>65/2</f>
        <v>32.5</v>
      </c>
      <c r="K11" s="18">
        <f>(I11+J11)/100*30</f>
        <v>20.047499999999999</v>
      </c>
      <c r="L11" s="9">
        <v>3.52</v>
      </c>
      <c r="M11" s="9">
        <f>L11/4*15</f>
        <v>13.2</v>
      </c>
      <c r="N11" s="11" t="s">
        <v>118</v>
      </c>
      <c r="O11" s="9">
        <v>0</v>
      </c>
      <c r="P11" s="9">
        <v>3.4000000000000002E-2</v>
      </c>
      <c r="Q11" s="18">
        <f>K11+M11+O11+P11</f>
        <v>33.281500000000001</v>
      </c>
      <c r="R11" s="9"/>
      <c r="S11" s="9"/>
      <c r="T11" s="9"/>
    </row>
    <row r="12" spans="1:20" x14ac:dyDescent="0.3">
      <c r="A12" s="9">
        <v>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3">
      <c r="A13" s="95" t="s">
        <v>43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7"/>
    </row>
    <row r="14" spans="1:20" ht="46.8" x14ac:dyDescent="0.3">
      <c r="A14" s="9">
        <v>1</v>
      </c>
      <c r="B14" s="9" t="s">
        <v>39</v>
      </c>
      <c r="C14" s="9">
        <v>20140103219</v>
      </c>
      <c r="D14" s="9" t="s">
        <v>112</v>
      </c>
      <c r="E14" s="9" t="s">
        <v>113</v>
      </c>
      <c r="F14" s="9" t="s">
        <v>24</v>
      </c>
      <c r="G14" s="9" t="s">
        <v>20</v>
      </c>
      <c r="H14" s="9" t="s">
        <v>21</v>
      </c>
      <c r="I14" s="9">
        <f>63.49/2</f>
        <v>31.745000000000001</v>
      </c>
      <c r="J14" s="9">
        <f>65.8/2</f>
        <v>32.9</v>
      </c>
      <c r="K14" s="18">
        <f>(I14+J14)/100*30</f>
        <v>19.3935</v>
      </c>
      <c r="L14" s="9">
        <f>7.26/2</f>
        <v>3.63</v>
      </c>
      <c r="M14" s="18">
        <f>L14/4*15</f>
        <v>13.612499999999999</v>
      </c>
      <c r="N14" s="11" t="s">
        <v>120</v>
      </c>
      <c r="O14" s="9">
        <v>1</v>
      </c>
      <c r="P14" s="9">
        <v>1.2</v>
      </c>
      <c r="Q14" s="18">
        <f>K14+M14+O14+P14</f>
        <v>35.206000000000003</v>
      </c>
      <c r="R14" s="9"/>
      <c r="S14" s="9"/>
      <c r="T14" s="9"/>
    </row>
    <row r="15" spans="1:20" x14ac:dyDescent="0.3">
      <c r="A15" s="95" t="s">
        <v>44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7"/>
    </row>
    <row r="16" spans="1:20" x14ac:dyDescent="0.3">
      <c r="A16" s="95" t="s">
        <v>45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7"/>
    </row>
    <row r="17" spans="1:20" ht="46.8" x14ac:dyDescent="0.3">
      <c r="A17" s="9">
        <v>1</v>
      </c>
      <c r="B17" s="9" t="s">
        <v>77</v>
      </c>
      <c r="C17" s="9">
        <v>20160707305</v>
      </c>
      <c r="D17" s="9" t="s">
        <v>78</v>
      </c>
      <c r="E17" s="10">
        <v>42552</v>
      </c>
      <c r="F17" s="9" t="s">
        <v>24</v>
      </c>
      <c r="G17" s="11" t="s">
        <v>76</v>
      </c>
      <c r="H17" s="9" t="s">
        <v>21</v>
      </c>
      <c r="I17" s="9">
        <f>71.42/2</f>
        <v>35.71</v>
      </c>
      <c r="J17" s="9">
        <f>80.4/2</f>
        <v>40.200000000000003</v>
      </c>
      <c r="K17" s="18">
        <f>(I17+J17)/100*30</f>
        <v>22.773</v>
      </c>
      <c r="L17" s="9">
        <v>3.05</v>
      </c>
      <c r="M17" s="18">
        <f>L17/4*15</f>
        <v>11.4375</v>
      </c>
      <c r="N17" s="11" t="s">
        <v>117</v>
      </c>
      <c r="O17" s="9">
        <v>0</v>
      </c>
      <c r="P17" s="9">
        <v>0</v>
      </c>
      <c r="Q17" s="18">
        <f>K17+M17+O17+P17</f>
        <v>34.210499999999996</v>
      </c>
      <c r="R17" s="9"/>
      <c r="S17" s="9"/>
      <c r="T17" s="9"/>
    </row>
    <row r="18" spans="1:20" x14ac:dyDescent="0.3">
      <c r="A18" s="95" t="s">
        <v>46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7"/>
    </row>
    <row r="19" spans="1:20" ht="31.2" x14ac:dyDescent="0.3">
      <c r="A19" s="9">
        <v>1</v>
      </c>
      <c r="B19" s="11" t="s">
        <v>59</v>
      </c>
      <c r="C19" s="11">
        <v>20170709563</v>
      </c>
      <c r="D19" s="9" t="s">
        <v>60</v>
      </c>
      <c r="E19" s="10">
        <v>42917</v>
      </c>
      <c r="F19" s="9" t="s">
        <v>24</v>
      </c>
      <c r="G19" s="11" t="s">
        <v>61</v>
      </c>
      <c r="H19" s="9" t="s">
        <v>21</v>
      </c>
      <c r="I19" s="9">
        <f>64/2</f>
        <v>32</v>
      </c>
      <c r="J19" s="9">
        <f>62.4/2</f>
        <v>31.2</v>
      </c>
      <c r="K19" s="9">
        <f>(I19+J19)/100*30</f>
        <v>18.96</v>
      </c>
      <c r="L19" s="9">
        <v>3.76</v>
      </c>
      <c r="M19" s="9">
        <f>L19/4*15</f>
        <v>14.1</v>
      </c>
      <c r="N19" s="11" t="s">
        <v>118</v>
      </c>
      <c r="O19" s="9">
        <v>0</v>
      </c>
      <c r="P19" s="9">
        <v>4.3999999999999997E-2</v>
      </c>
      <c r="Q19" s="9">
        <f>K19+M19+O19+P19</f>
        <v>33.103999999999999</v>
      </c>
      <c r="R19" s="9"/>
      <c r="S19" s="9"/>
      <c r="T19" s="9"/>
    </row>
    <row r="20" spans="1:20" ht="31.2" x14ac:dyDescent="0.3">
      <c r="A20" s="9">
        <v>2</v>
      </c>
      <c r="B20" s="9" t="s">
        <v>83</v>
      </c>
      <c r="C20" s="9">
        <v>20170709555</v>
      </c>
      <c r="D20" s="9" t="s">
        <v>84</v>
      </c>
      <c r="E20" s="10">
        <v>42917</v>
      </c>
      <c r="F20" s="9" t="s">
        <v>24</v>
      </c>
      <c r="G20" s="11" t="s">
        <v>76</v>
      </c>
      <c r="H20" s="9" t="s">
        <v>21</v>
      </c>
      <c r="I20" s="9">
        <f>54.5/2</f>
        <v>27.25</v>
      </c>
      <c r="J20" s="9">
        <f>77.8/2</f>
        <v>38.9</v>
      </c>
      <c r="K20" s="18">
        <f>(I20+J20)/100*30</f>
        <v>19.845000000000002</v>
      </c>
      <c r="L20" s="9">
        <v>2.83</v>
      </c>
      <c r="M20" s="18">
        <f>L20/4*15</f>
        <v>10.612500000000001</v>
      </c>
      <c r="N20" s="11" t="s">
        <v>118</v>
      </c>
      <c r="O20" s="9">
        <v>0</v>
      </c>
      <c r="P20" s="9">
        <v>0</v>
      </c>
      <c r="Q20" s="9">
        <f>K20+M20+O20+P20</f>
        <v>30.457500000000003</v>
      </c>
      <c r="R20" s="9"/>
      <c r="S20" s="9"/>
      <c r="T20" s="9"/>
    </row>
    <row r="21" spans="1:20" x14ac:dyDescent="0.3">
      <c r="A21" s="95" t="s">
        <v>47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7"/>
    </row>
    <row r="22" spans="1:20" ht="31.2" x14ac:dyDescent="0.3">
      <c r="A22" s="9">
        <v>1</v>
      </c>
      <c r="B22" s="11" t="s">
        <v>32</v>
      </c>
      <c r="C22" s="9">
        <v>201001128</v>
      </c>
      <c r="D22" s="13">
        <v>29809</v>
      </c>
      <c r="E22" s="12">
        <v>40179</v>
      </c>
      <c r="F22" s="11" t="s">
        <v>33</v>
      </c>
      <c r="G22" s="9" t="s">
        <v>20</v>
      </c>
      <c r="H22" s="9" t="s">
        <v>21</v>
      </c>
      <c r="I22" s="9">
        <f>94.6/2</f>
        <v>47.3</v>
      </c>
      <c r="J22" s="9">
        <f>77.4/2</f>
        <v>38.700000000000003</v>
      </c>
      <c r="K22" s="9">
        <f>(I22+J22)/100*30</f>
        <v>25.8</v>
      </c>
      <c r="L22" s="9">
        <f>7.7/2</f>
        <v>3.85</v>
      </c>
      <c r="M22" s="18">
        <f>L22/4*15</f>
        <v>14.4375</v>
      </c>
      <c r="N22" s="11" t="s">
        <v>129</v>
      </c>
      <c r="O22" s="9">
        <v>3.5</v>
      </c>
      <c r="P22" s="9">
        <v>2.87</v>
      </c>
      <c r="Q22" s="18">
        <f>K22+M22+O22+P22</f>
        <v>46.607499999999995</v>
      </c>
      <c r="R22" s="9"/>
      <c r="S22" s="9"/>
      <c r="T22" s="9"/>
    </row>
    <row r="23" spans="1:20" ht="31.2" x14ac:dyDescent="0.3">
      <c r="A23" s="9">
        <v>2</v>
      </c>
      <c r="B23" s="9" t="s">
        <v>58</v>
      </c>
      <c r="C23" s="9">
        <v>20170709556</v>
      </c>
      <c r="D23" s="9" t="s">
        <v>63</v>
      </c>
      <c r="E23" s="10">
        <v>42917</v>
      </c>
      <c r="F23" s="9" t="s">
        <v>24</v>
      </c>
      <c r="G23" s="11" t="s">
        <v>62</v>
      </c>
      <c r="H23" s="9" t="s">
        <v>21</v>
      </c>
      <c r="I23" s="9">
        <f>62/2</f>
        <v>31</v>
      </c>
      <c r="J23" s="9">
        <f>82.8/2</f>
        <v>41.4</v>
      </c>
      <c r="K23" s="9">
        <f>(I23+J23)/100*30</f>
        <v>21.720000000000002</v>
      </c>
      <c r="L23" s="9">
        <v>3.65</v>
      </c>
      <c r="M23" s="18">
        <f>L23/4*15</f>
        <v>13.6875</v>
      </c>
      <c r="N23" s="11" t="s">
        <v>118</v>
      </c>
      <c r="O23" s="9">
        <v>0</v>
      </c>
      <c r="P23" s="9">
        <v>2.8000000000000001E-2</v>
      </c>
      <c r="Q23" s="18">
        <f>K23+M23+O23+P23</f>
        <v>35.435499999999998</v>
      </c>
      <c r="R23" s="9"/>
      <c r="S23" s="9"/>
      <c r="T23" s="9"/>
    </row>
    <row r="24" spans="1:20" x14ac:dyDescent="0.3">
      <c r="A24" s="95" t="s">
        <v>102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7"/>
    </row>
    <row r="25" spans="1:20" ht="46.8" x14ac:dyDescent="0.3">
      <c r="A25" s="9">
        <v>1</v>
      </c>
      <c r="B25" s="9" t="s">
        <v>23</v>
      </c>
      <c r="C25" s="9">
        <v>20160707304</v>
      </c>
      <c r="D25" s="10">
        <v>32300</v>
      </c>
      <c r="E25" s="10">
        <v>42552</v>
      </c>
      <c r="F25" s="9" t="s">
        <v>24</v>
      </c>
      <c r="G25" s="9" t="s">
        <v>20</v>
      </c>
      <c r="H25" s="9" t="s">
        <v>21</v>
      </c>
      <c r="I25" s="9">
        <f>54.5/2</f>
        <v>27.25</v>
      </c>
      <c r="J25" s="9">
        <f>77/2</f>
        <v>38.5</v>
      </c>
      <c r="K25" s="18">
        <f>(I25+J25)/100*30</f>
        <v>19.724999999999998</v>
      </c>
      <c r="L25" s="9">
        <v>3.75</v>
      </c>
      <c r="M25" s="18">
        <f>L25/4*15</f>
        <v>14.0625</v>
      </c>
      <c r="N25" s="11" t="s">
        <v>117</v>
      </c>
      <c r="O25" s="9">
        <v>0</v>
      </c>
      <c r="P25" s="9">
        <v>0.52500000000000002</v>
      </c>
      <c r="Q25" s="18">
        <f>K25+M25+O25+P25</f>
        <v>34.312499999999993</v>
      </c>
      <c r="R25" s="9"/>
      <c r="S25" s="9"/>
      <c r="T25" s="9"/>
    </row>
    <row r="26" spans="1:20" ht="46.8" x14ac:dyDescent="0.3">
      <c r="A26" s="9">
        <v>2</v>
      </c>
      <c r="B26" s="9" t="s">
        <v>88</v>
      </c>
      <c r="C26" s="9">
        <v>20170107840</v>
      </c>
      <c r="D26" s="10">
        <v>33327</v>
      </c>
      <c r="E26" s="10">
        <v>42736</v>
      </c>
      <c r="F26" s="9" t="s">
        <v>24</v>
      </c>
      <c r="G26" s="11" t="s">
        <v>64</v>
      </c>
      <c r="H26" s="9" t="s">
        <v>21</v>
      </c>
      <c r="I26" s="9">
        <f>60.64/2</f>
        <v>30.32</v>
      </c>
      <c r="J26" s="9">
        <f>84/2</f>
        <v>42</v>
      </c>
      <c r="K26" s="18">
        <f t="shared" ref="K26:K33" si="3">(I26+J26)/100*30</f>
        <v>21.695999999999998</v>
      </c>
      <c r="L26" s="9">
        <v>3.93</v>
      </c>
      <c r="M26" s="18">
        <f t="shared" ref="M26:M33" si="4">L26/4*15</f>
        <v>14.737500000000001</v>
      </c>
      <c r="N26" s="11" t="s">
        <v>121</v>
      </c>
      <c r="O26" s="9">
        <v>0</v>
      </c>
      <c r="P26" s="9">
        <v>0.56000000000000005</v>
      </c>
      <c r="Q26" s="18">
        <f t="shared" ref="Q26:Q33" si="5">K26+M26+O26+P26</f>
        <v>36.993499999999997</v>
      </c>
      <c r="R26" s="9"/>
      <c r="S26" s="9"/>
      <c r="T26" s="9"/>
    </row>
    <row r="27" spans="1:20" ht="46.8" x14ac:dyDescent="0.3">
      <c r="A27" s="9">
        <v>3</v>
      </c>
      <c r="B27" s="9" t="s">
        <v>89</v>
      </c>
      <c r="C27" s="9">
        <v>20160707299</v>
      </c>
      <c r="D27" s="10" t="s">
        <v>90</v>
      </c>
      <c r="E27" s="10">
        <v>42552</v>
      </c>
      <c r="F27" s="9" t="s">
        <v>24</v>
      </c>
      <c r="G27" s="11" t="s">
        <v>91</v>
      </c>
      <c r="H27" s="9" t="s">
        <v>21</v>
      </c>
      <c r="I27" s="9">
        <f>56.5/2</f>
        <v>28.25</v>
      </c>
      <c r="J27" s="9">
        <f>79.6/2</f>
        <v>39.799999999999997</v>
      </c>
      <c r="K27" s="18">
        <f t="shared" si="3"/>
        <v>20.414999999999999</v>
      </c>
      <c r="L27" s="9">
        <v>3.44</v>
      </c>
      <c r="M27" s="18">
        <f t="shared" si="4"/>
        <v>12.9</v>
      </c>
      <c r="N27" s="11" t="s">
        <v>117</v>
      </c>
      <c r="O27" s="9">
        <v>0</v>
      </c>
      <c r="P27" s="9">
        <v>0.73499999999999999</v>
      </c>
      <c r="Q27" s="18">
        <f t="shared" si="5"/>
        <v>34.049999999999997</v>
      </c>
      <c r="R27" s="9"/>
      <c r="S27" s="9"/>
      <c r="T27" s="9"/>
    </row>
    <row r="28" spans="1:20" ht="31.2" x14ac:dyDescent="0.3">
      <c r="A28" s="9">
        <v>4</v>
      </c>
      <c r="B28" s="9" t="s">
        <v>94</v>
      </c>
      <c r="C28" s="9">
        <v>20170107949</v>
      </c>
      <c r="D28" s="10">
        <v>32717</v>
      </c>
      <c r="E28" s="10" t="s">
        <v>99</v>
      </c>
      <c r="F28" s="9" t="s">
        <v>24</v>
      </c>
      <c r="G28" s="11" t="s">
        <v>95</v>
      </c>
      <c r="H28" s="9" t="s">
        <v>21</v>
      </c>
      <c r="I28" s="9">
        <f>73.5/2</f>
        <v>36.75</v>
      </c>
      <c r="J28" s="9">
        <f>84.8/2</f>
        <v>42.4</v>
      </c>
      <c r="K28" s="18">
        <f t="shared" si="3"/>
        <v>23.745000000000005</v>
      </c>
      <c r="L28" s="9">
        <v>2.76</v>
      </c>
      <c r="M28" s="18">
        <f t="shared" si="4"/>
        <v>10.35</v>
      </c>
      <c r="N28" s="11" t="s">
        <v>130</v>
      </c>
      <c r="O28" s="9">
        <v>0</v>
      </c>
      <c r="P28" s="9">
        <v>3.7499999999999999E-2</v>
      </c>
      <c r="Q28" s="18">
        <f t="shared" si="5"/>
        <v>34.132500000000007</v>
      </c>
      <c r="R28" s="9"/>
      <c r="S28" s="9"/>
      <c r="T28" s="9"/>
    </row>
    <row r="29" spans="1:20" ht="46.8" x14ac:dyDescent="0.3">
      <c r="A29" s="9">
        <v>5</v>
      </c>
      <c r="B29" s="9" t="s">
        <v>96</v>
      </c>
      <c r="C29" s="9">
        <v>20150705813</v>
      </c>
      <c r="D29" s="10">
        <v>31062</v>
      </c>
      <c r="E29" s="10">
        <v>42186</v>
      </c>
      <c r="F29" s="9" t="s">
        <v>24</v>
      </c>
      <c r="G29" s="11" t="s">
        <v>97</v>
      </c>
      <c r="H29" s="9" t="s">
        <v>21</v>
      </c>
      <c r="I29" s="9">
        <f>54.5/2</f>
        <v>27.25</v>
      </c>
      <c r="J29" s="9">
        <f>70.4/2</f>
        <v>35.200000000000003</v>
      </c>
      <c r="K29" s="18">
        <f t="shared" si="3"/>
        <v>18.735000000000003</v>
      </c>
      <c r="L29" s="18">
        <f>7.29/2</f>
        <v>3.645</v>
      </c>
      <c r="M29" s="18">
        <f t="shared" si="4"/>
        <v>13.668749999999999</v>
      </c>
      <c r="N29" s="11" t="s">
        <v>122</v>
      </c>
      <c r="O29" s="9">
        <v>0</v>
      </c>
      <c r="P29" s="9">
        <v>1.5389999999999999</v>
      </c>
      <c r="Q29" s="18">
        <f t="shared" si="5"/>
        <v>33.942750000000004</v>
      </c>
      <c r="R29" s="9"/>
      <c r="S29" s="9"/>
      <c r="T29" s="9"/>
    </row>
    <row r="30" spans="1:20" ht="46.8" x14ac:dyDescent="0.3">
      <c r="A30" s="9">
        <v>6</v>
      </c>
      <c r="B30" s="11" t="s">
        <v>98</v>
      </c>
      <c r="C30" s="9">
        <v>20170108492</v>
      </c>
      <c r="D30" s="10">
        <v>33074</v>
      </c>
      <c r="E30" s="10" t="s">
        <v>99</v>
      </c>
      <c r="F30" s="9" t="s">
        <v>24</v>
      </c>
      <c r="G30" s="11" t="s">
        <v>100</v>
      </c>
      <c r="H30" s="9" t="s">
        <v>21</v>
      </c>
      <c r="I30" s="18">
        <f>54.27/2</f>
        <v>27.135000000000002</v>
      </c>
      <c r="J30" s="9">
        <f>67/2</f>
        <v>33.5</v>
      </c>
      <c r="K30" s="18">
        <f t="shared" si="3"/>
        <v>18.1905</v>
      </c>
      <c r="L30" s="9">
        <v>3.91</v>
      </c>
      <c r="M30" s="18">
        <f t="shared" si="4"/>
        <v>14.662500000000001</v>
      </c>
      <c r="N30" s="11" t="s">
        <v>121</v>
      </c>
      <c r="O30" s="9">
        <v>0</v>
      </c>
      <c r="P30" s="9">
        <v>0.56000000000000005</v>
      </c>
      <c r="Q30" s="18">
        <f t="shared" si="5"/>
        <v>33.413000000000004</v>
      </c>
      <c r="R30" s="9"/>
      <c r="S30" s="9"/>
      <c r="T30" s="9"/>
    </row>
    <row r="31" spans="1:20" ht="46.8" x14ac:dyDescent="0.3">
      <c r="A31" s="9">
        <v>7</v>
      </c>
      <c r="B31" s="11" t="s">
        <v>103</v>
      </c>
      <c r="C31" s="9">
        <v>20130101257</v>
      </c>
      <c r="D31" s="9" t="s">
        <v>104</v>
      </c>
      <c r="E31" s="10">
        <v>41275</v>
      </c>
      <c r="F31" s="9" t="s">
        <v>24</v>
      </c>
      <c r="G31" s="9" t="s">
        <v>20</v>
      </c>
      <c r="H31" s="9" t="s">
        <v>21</v>
      </c>
      <c r="I31" s="18">
        <f>58.67/2</f>
        <v>29.335000000000001</v>
      </c>
      <c r="J31" s="9">
        <f>75.6/2</f>
        <v>37.799999999999997</v>
      </c>
      <c r="K31" s="18">
        <f t="shared" si="3"/>
        <v>20.140499999999996</v>
      </c>
      <c r="L31" s="20">
        <v>2.34</v>
      </c>
      <c r="M31" s="18">
        <f t="shared" si="4"/>
        <v>8.7749999999999986</v>
      </c>
      <c r="N31" s="11" t="s">
        <v>128</v>
      </c>
      <c r="O31" s="9">
        <v>1.5</v>
      </c>
      <c r="P31" s="9">
        <v>1.0416000000000001</v>
      </c>
      <c r="Q31" s="18">
        <f t="shared" si="5"/>
        <v>31.457099999999993</v>
      </c>
      <c r="R31" s="9"/>
      <c r="S31" s="9"/>
      <c r="T31" s="9"/>
    </row>
    <row r="32" spans="1:20" ht="46.8" x14ac:dyDescent="0.3">
      <c r="A32" s="9">
        <v>8</v>
      </c>
      <c r="B32" s="9" t="s">
        <v>92</v>
      </c>
      <c r="C32" s="9">
        <v>20170107930</v>
      </c>
      <c r="D32" s="10">
        <v>33233</v>
      </c>
      <c r="E32" s="10">
        <v>42736</v>
      </c>
      <c r="F32" s="9" t="s">
        <v>24</v>
      </c>
      <c r="G32" s="11" t="s">
        <v>93</v>
      </c>
      <c r="H32" s="9" t="s">
        <v>21</v>
      </c>
      <c r="I32" s="18">
        <f>66.51/2</f>
        <v>33.255000000000003</v>
      </c>
      <c r="J32" s="9">
        <f>61.4/2</f>
        <v>30.7</v>
      </c>
      <c r="K32" s="18">
        <f t="shared" si="3"/>
        <v>19.186499999999999</v>
      </c>
      <c r="L32" s="9">
        <v>4</v>
      </c>
      <c r="M32" s="18">
        <f t="shared" si="4"/>
        <v>15</v>
      </c>
      <c r="N32" s="11" t="s">
        <v>121</v>
      </c>
      <c r="O32" s="9">
        <v>0</v>
      </c>
      <c r="P32" s="9">
        <v>0.78700000000000003</v>
      </c>
      <c r="Q32" s="18">
        <f t="shared" si="5"/>
        <v>34.973499999999994</v>
      </c>
      <c r="R32" s="9"/>
      <c r="S32" s="9"/>
      <c r="T32" s="9"/>
    </row>
    <row r="33" spans="1:20" ht="46.8" x14ac:dyDescent="0.3">
      <c r="A33" s="9">
        <v>9</v>
      </c>
      <c r="B33" s="9" t="s">
        <v>162</v>
      </c>
      <c r="C33" s="9">
        <v>20170108493</v>
      </c>
      <c r="D33" s="10" t="s">
        <v>163</v>
      </c>
      <c r="E33" s="10">
        <v>42736</v>
      </c>
      <c r="F33" s="9" t="s">
        <v>24</v>
      </c>
      <c r="G33" s="11" t="s">
        <v>164</v>
      </c>
      <c r="H33" s="9" t="s">
        <v>21</v>
      </c>
      <c r="I33" s="18">
        <f>65.07/2</f>
        <v>32.534999999999997</v>
      </c>
      <c r="J33" s="9">
        <f>68.8/2</f>
        <v>34.4</v>
      </c>
      <c r="K33" s="18">
        <f t="shared" si="3"/>
        <v>20.080500000000001</v>
      </c>
      <c r="L33" s="19">
        <v>1.99</v>
      </c>
      <c r="M33" s="18">
        <f t="shared" si="4"/>
        <v>7.4625000000000004</v>
      </c>
      <c r="N33" s="11" t="s">
        <v>121</v>
      </c>
      <c r="O33" s="9">
        <v>0</v>
      </c>
      <c r="P33" s="9">
        <v>0.69899999999999995</v>
      </c>
      <c r="Q33" s="18">
        <f t="shared" si="5"/>
        <v>28.242000000000001</v>
      </c>
      <c r="R33" s="9"/>
      <c r="S33" s="9"/>
      <c r="T33" s="9"/>
    </row>
    <row r="34" spans="1:20" x14ac:dyDescent="0.3">
      <c r="A34" s="95" t="s">
        <v>48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7"/>
    </row>
    <row r="35" spans="1:20" ht="46.8" x14ac:dyDescent="0.3">
      <c r="A35" s="9">
        <v>1</v>
      </c>
      <c r="B35" s="9" t="s">
        <v>30</v>
      </c>
      <c r="C35" s="9">
        <v>201001152</v>
      </c>
      <c r="D35" s="10">
        <v>31502</v>
      </c>
      <c r="E35" s="10">
        <v>40179</v>
      </c>
      <c r="F35" s="11" t="s">
        <v>31</v>
      </c>
      <c r="G35" s="9" t="s">
        <v>20</v>
      </c>
      <c r="H35" s="9" t="s">
        <v>21</v>
      </c>
      <c r="I35" s="18">
        <f>69.59/2</f>
        <v>34.795000000000002</v>
      </c>
      <c r="J35" s="9">
        <f>70.6/2</f>
        <v>35.299999999999997</v>
      </c>
      <c r="K35" s="18">
        <f>(I35+J35)/100*30</f>
        <v>21.028499999999998</v>
      </c>
      <c r="L35" s="18">
        <f>6.69/2</f>
        <v>3.3450000000000002</v>
      </c>
      <c r="M35" s="18">
        <f>L35/4*15</f>
        <v>12.543750000000001</v>
      </c>
      <c r="N35" s="11" t="s">
        <v>123</v>
      </c>
      <c r="O35" s="9">
        <v>3</v>
      </c>
      <c r="P35" s="9">
        <v>0</v>
      </c>
      <c r="Q35" s="18">
        <f>K35+M35+O35+P35</f>
        <v>36.572249999999997</v>
      </c>
      <c r="R35" s="9"/>
      <c r="S35" s="9"/>
      <c r="T35" s="9"/>
    </row>
    <row r="36" spans="1:20" ht="46.8" x14ac:dyDescent="0.3">
      <c r="A36" s="9">
        <v>2</v>
      </c>
      <c r="B36" s="11" t="s">
        <v>34</v>
      </c>
      <c r="C36" s="9">
        <v>200601129</v>
      </c>
      <c r="D36" s="10">
        <v>28572</v>
      </c>
      <c r="E36" s="10">
        <v>38718</v>
      </c>
      <c r="F36" s="11" t="s">
        <v>35</v>
      </c>
      <c r="G36" s="9" t="s">
        <v>20</v>
      </c>
      <c r="H36" s="9" t="s">
        <v>21</v>
      </c>
      <c r="I36" s="18">
        <f>61.99/2</f>
        <v>30.995000000000001</v>
      </c>
      <c r="J36" s="9">
        <f>62.6/2</f>
        <v>31.3</v>
      </c>
      <c r="K36" s="18">
        <f t="shared" ref="K36:K37" si="6">(I36+J36)/100*30</f>
        <v>18.688500000000001</v>
      </c>
      <c r="L36" s="18">
        <f>6.69/2</f>
        <v>3.3450000000000002</v>
      </c>
      <c r="M36" s="18">
        <f t="shared" ref="M36:M37" si="7">L36/4*15</f>
        <v>12.543750000000001</v>
      </c>
      <c r="N36" s="11" t="s">
        <v>124</v>
      </c>
      <c r="O36" s="9">
        <v>5</v>
      </c>
      <c r="P36" s="9">
        <v>0</v>
      </c>
      <c r="Q36" s="18">
        <f t="shared" ref="Q36:Q37" si="8">K36+M36+O36+P36</f>
        <v>36.232250000000001</v>
      </c>
      <c r="R36" s="9"/>
      <c r="S36" s="9"/>
      <c r="T36" s="9"/>
    </row>
    <row r="37" spans="1:20" ht="46.8" x14ac:dyDescent="0.3">
      <c r="A37" s="9">
        <v>3</v>
      </c>
      <c r="B37" s="11" t="s">
        <v>36</v>
      </c>
      <c r="C37" s="9">
        <v>200501135</v>
      </c>
      <c r="D37" s="9" t="s">
        <v>37</v>
      </c>
      <c r="E37" s="10">
        <v>38353</v>
      </c>
      <c r="F37" s="11" t="s">
        <v>38</v>
      </c>
      <c r="G37" s="9" t="s">
        <v>20</v>
      </c>
      <c r="H37" s="9" t="s">
        <v>21</v>
      </c>
      <c r="I37" s="18">
        <f>58.67/2</f>
        <v>29.335000000000001</v>
      </c>
      <c r="J37" s="9">
        <f>58.8/2</f>
        <v>29.4</v>
      </c>
      <c r="K37" s="18">
        <f t="shared" si="6"/>
        <v>17.6205</v>
      </c>
      <c r="L37" s="9">
        <f>6.2/2</f>
        <v>3.1</v>
      </c>
      <c r="M37" s="18">
        <f t="shared" si="7"/>
        <v>11.625</v>
      </c>
      <c r="N37" s="11" t="s">
        <v>125</v>
      </c>
      <c r="O37" s="9">
        <v>5</v>
      </c>
      <c r="P37" s="9">
        <v>0</v>
      </c>
      <c r="Q37" s="18">
        <f t="shared" si="8"/>
        <v>34.2455</v>
      </c>
      <c r="R37" s="9"/>
      <c r="S37" s="9"/>
      <c r="T37" s="9"/>
    </row>
    <row r="38" spans="1:20" x14ac:dyDescent="0.3">
      <c r="A38" s="95" t="s">
        <v>49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7"/>
    </row>
    <row r="39" spans="1:20" ht="31.2" hidden="1" x14ac:dyDescent="0.3">
      <c r="A39" s="9">
        <v>1</v>
      </c>
      <c r="B39" s="9" t="s">
        <v>18</v>
      </c>
      <c r="C39" s="9">
        <v>20160106552</v>
      </c>
      <c r="D39" s="10">
        <v>33318</v>
      </c>
      <c r="E39" s="10">
        <v>42370</v>
      </c>
      <c r="F39" s="11" t="s">
        <v>19</v>
      </c>
      <c r="G39" s="9" t="s">
        <v>20</v>
      </c>
      <c r="H39" s="9" t="s">
        <v>21</v>
      </c>
      <c r="I39" s="99" t="s">
        <v>116</v>
      </c>
      <c r="J39" s="100"/>
      <c r="K39" s="9"/>
      <c r="L39" s="9"/>
      <c r="M39" s="9"/>
      <c r="N39" s="11"/>
      <c r="O39" s="9"/>
      <c r="P39" s="9"/>
      <c r="Q39" s="9"/>
      <c r="R39" s="9"/>
      <c r="S39" s="9"/>
      <c r="T39" s="9"/>
    </row>
    <row r="40" spans="1:20" ht="31.2" hidden="1" x14ac:dyDescent="0.3">
      <c r="A40" s="9">
        <v>2</v>
      </c>
      <c r="B40" s="11" t="s">
        <v>22</v>
      </c>
      <c r="C40" s="9">
        <v>20170107956</v>
      </c>
      <c r="D40" s="10">
        <v>33943</v>
      </c>
      <c r="E40" s="10">
        <v>42736</v>
      </c>
      <c r="F40" s="9" t="s">
        <v>19</v>
      </c>
      <c r="G40" s="9" t="s">
        <v>20</v>
      </c>
      <c r="H40" s="9" t="s">
        <v>21</v>
      </c>
      <c r="I40" s="101"/>
      <c r="J40" s="102"/>
      <c r="K40" s="9"/>
      <c r="L40" s="9"/>
      <c r="M40" s="9"/>
      <c r="N40" s="11"/>
      <c r="O40" s="9"/>
      <c r="P40" s="9"/>
      <c r="Q40" s="9"/>
      <c r="R40" s="9"/>
      <c r="S40" s="9"/>
      <c r="T40" s="9"/>
    </row>
    <row r="41" spans="1:20" ht="31.2" hidden="1" x14ac:dyDescent="0.3">
      <c r="A41" s="9">
        <v>3</v>
      </c>
      <c r="B41" s="11" t="s">
        <v>25</v>
      </c>
      <c r="C41" s="9">
        <v>20160106550</v>
      </c>
      <c r="D41" s="10" t="s">
        <v>26</v>
      </c>
      <c r="E41" s="10">
        <v>42370</v>
      </c>
      <c r="F41" s="9" t="s">
        <v>19</v>
      </c>
      <c r="G41" s="9" t="s">
        <v>20</v>
      </c>
      <c r="H41" s="9" t="s">
        <v>21</v>
      </c>
      <c r="I41" s="103"/>
      <c r="J41" s="104"/>
      <c r="K41" s="9"/>
      <c r="L41" s="9"/>
      <c r="M41" s="9"/>
      <c r="N41" s="11"/>
      <c r="O41" s="9"/>
      <c r="P41" s="9"/>
      <c r="Q41" s="9"/>
      <c r="R41" s="9"/>
      <c r="S41" s="9"/>
      <c r="T41" s="9"/>
    </row>
    <row r="42" spans="1:20" ht="46.8" x14ac:dyDescent="0.3">
      <c r="A42" s="9">
        <v>1</v>
      </c>
      <c r="B42" s="11" t="s">
        <v>28</v>
      </c>
      <c r="C42" s="9">
        <v>9701060</v>
      </c>
      <c r="D42" s="10">
        <v>27820</v>
      </c>
      <c r="E42" s="10">
        <v>35431</v>
      </c>
      <c r="F42" s="11" t="s">
        <v>29</v>
      </c>
      <c r="G42" s="9" t="s">
        <v>20</v>
      </c>
      <c r="H42" s="9" t="s">
        <v>21</v>
      </c>
      <c r="I42" s="18">
        <f>78.13/2</f>
        <v>39.064999999999998</v>
      </c>
      <c r="J42" s="18">
        <f>65.93/2</f>
        <v>32.965000000000003</v>
      </c>
      <c r="K42" s="18">
        <f>(I42+J42)/100*30</f>
        <v>21.609000000000002</v>
      </c>
      <c r="L42" s="18">
        <f>6.39/2</f>
        <v>3.1949999999999998</v>
      </c>
      <c r="M42" s="18">
        <f>L42/4*15</f>
        <v>11.981249999999999</v>
      </c>
      <c r="N42" s="11" t="s">
        <v>127</v>
      </c>
      <c r="O42" s="9">
        <v>5</v>
      </c>
      <c r="P42" s="9">
        <v>3.15</v>
      </c>
      <c r="Q42" s="18">
        <f>K42+M42+O42+P42</f>
        <v>41.740249999999996</v>
      </c>
      <c r="R42" s="9"/>
      <c r="S42" s="9"/>
      <c r="T42" s="9"/>
    </row>
    <row r="43" spans="1:20" ht="46.8" x14ac:dyDescent="0.3">
      <c r="A43" s="9">
        <v>2</v>
      </c>
      <c r="B43" s="9" t="s">
        <v>105</v>
      </c>
      <c r="C43" s="9">
        <v>200201078</v>
      </c>
      <c r="D43" s="10">
        <v>29384</v>
      </c>
      <c r="E43" s="10">
        <v>37257</v>
      </c>
      <c r="F43" s="9" t="s">
        <v>19</v>
      </c>
      <c r="G43" s="11" t="s">
        <v>106</v>
      </c>
      <c r="H43" s="9" t="s">
        <v>21</v>
      </c>
      <c r="I43" s="18">
        <f>73.01/2</f>
        <v>36.505000000000003</v>
      </c>
      <c r="J43" s="18">
        <f>60.25/2</f>
        <v>30.125</v>
      </c>
      <c r="K43" s="18">
        <f>(I43+J43)/100*30</f>
        <v>19.989000000000001</v>
      </c>
      <c r="L43" s="18">
        <v>3.2010000000000001</v>
      </c>
      <c r="M43" s="18">
        <f>L43/4*15</f>
        <v>12.00375</v>
      </c>
      <c r="N43" s="11" t="s">
        <v>156</v>
      </c>
      <c r="O43" s="9">
        <v>5</v>
      </c>
      <c r="P43" s="9">
        <v>5</v>
      </c>
      <c r="Q43" s="18">
        <f>K43+M43+O43+P43</f>
        <v>41.992750000000001</v>
      </c>
      <c r="R43" s="9"/>
      <c r="S43" s="9"/>
      <c r="T43" s="9"/>
    </row>
    <row r="44" spans="1:20" x14ac:dyDescent="0.3">
      <c r="A44" s="95" t="s">
        <v>50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7"/>
    </row>
    <row r="45" spans="1:20" ht="46.8" x14ac:dyDescent="0.3">
      <c r="A45" s="9">
        <v>1</v>
      </c>
      <c r="B45" s="11" t="s">
        <v>27</v>
      </c>
      <c r="C45" s="9">
        <v>20160106555</v>
      </c>
      <c r="D45" s="10">
        <v>33412</v>
      </c>
      <c r="E45" s="10">
        <v>42370</v>
      </c>
      <c r="F45" s="9" t="s">
        <v>19</v>
      </c>
      <c r="G45" s="9" t="s">
        <v>20</v>
      </c>
      <c r="H45" s="9" t="s">
        <v>21</v>
      </c>
      <c r="I45" s="9">
        <f>82.5/2</f>
        <v>41.25</v>
      </c>
      <c r="J45" s="9">
        <f>79.4/2</f>
        <v>39.700000000000003</v>
      </c>
      <c r="K45" s="18">
        <f>(I45+J45)/100*30</f>
        <v>24.285</v>
      </c>
      <c r="L45" s="9">
        <v>2.8</v>
      </c>
      <c r="M45" s="9">
        <f>L45/4*15</f>
        <v>10.5</v>
      </c>
      <c r="N45" s="11" t="s">
        <v>126</v>
      </c>
      <c r="O45" s="9">
        <v>0</v>
      </c>
      <c r="P45" s="9">
        <v>0</v>
      </c>
      <c r="Q45" s="18">
        <f>K45+M45+O45+P45</f>
        <v>34.784999999999997</v>
      </c>
      <c r="R45" s="9"/>
      <c r="S45" s="9"/>
      <c r="T45" s="9"/>
    </row>
    <row r="46" spans="1:20" x14ac:dyDescent="0.3">
      <c r="A46" s="95" t="s">
        <v>51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7"/>
    </row>
    <row r="47" spans="1:20" ht="46.8" x14ac:dyDescent="0.3">
      <c r="A47" s="9">
        <v>1</v>
      </c>
      <c r="B47" s="11" t="s">
        <v>85</v>
      </c>
      <c r="C47" s="17">
        <v>200601117</v>
      </c>
      <c r="D47" s="9" t="s">
        <v>86</v>
      </c>
      <c r="E47" s="10">
        <v>38718</v>
      </c>
      <c r="F47" s="9" t="s">
        <v>87</v>
      </c>
      <c r="G47" s="11" t="s">
        <v>76</v>
      </c>
      <c r="H47" s="9" t="s">
        <v>21</v>
      </c>
      <c r="I47" s="9">
        <f>63.12/2</f>
        <v>31.56</v>
      </c>
      <c r="J47" s="9">
        <f>73/2</f>
        <v>36.5</v>
      </c>
      <c r="K47" s="18">
        <f>(I47+J47)/100*30</f>
        <v>20.417999999999999</v>
      </c>
      <c r="L47" s="9">
        <f>6.9/2</f>
        <v>3.45</v>
      </c>
      <c r="M47" s="18">
        <f>L47/4*15</f>
        <v>12.9375</v>
      </c>
      <c r="N47" s="11" t="s">
        <v>124</v>
      </c>
      <c r="O47" s="9">
        <v>5</v>
      </c>
      <c r="P47" s="9">
        <v>1.34</v>
      </c>
      <c r="Q47" s="18">
        <f>K47+M47+O47+P47</f>
        <v>39.695500000000003</v>
      </c>
      <c r="R47" s="9"/>
      <c r="S47" s="9"/>
      <c r="T47" s="9"/>
    </row>
    <row r="48" spans="1:20" x14ac:dyDescent="0.3">
      <c r="A48" s="95" t="s">
        <v>52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7"/>
    </row>
    <row r="49" spans="1:20" ht="46.8" x14ac:dyDescent="0.3">
      <c r="A49" s="9">
        <v>1</v>
      </c>
      <c r="B49" s="9" t="s">
        <v>159</v>
      </c>
      <c r="C49" s="9">
        <v>200801007</v>
      </c>
      <c r="D49" s="10">
        <v>29376</v>
      </c>
      <c r="E49" s="10">
        <v>39448</v>
      </c>
      <c r="F49" s="11" t="s">
        <v>161</v>
      </c>
      <c r="G49" s="9" t="s">
        <v>20</v>
      </c>
      <c r="H49" s="9" t="s">
        <v>21</v>
      </c>
      <c r="I49" s="9"/>
      <c r="J49" s="9"/>
      <c r="K49" s="9"/>
      <c r="L49" s="9">
        <f>6.7/2</f>
        <v>3.35</v>
      </c>
      <c r="M49" s="18">
        <f>L49/4*15</f>
        <v>12.5625</v>
      </c>
      <c r="N49" s="11" t="s">
        <v>158</v>
      </c>
      <c r="O49" s="9">
        <v>4</v>
      </c>
      <c r="P49" s="9">
        <v>3.84</v>
      </c>
      <c r="Q49" s="9"/>
      <c r="R49" s="9"/>
      <c r="S49" s="9"/>
      <c r="T49" s="9"/>
    </row>
    <row r="50" spans="1:20" x14ac:dyDescent="0.3">
      <c r="A50" s="95" t="s">
        <v>53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7"/>
    </row>
    <row r="51" spans="1:20" ht="46.8" x14ac:dyDescent="0.3">
      <c r="A51" s="9">
        <v>1</v>
      </c>
      <c r="B51" s="11" t="s">
        <v>66</v>
      </c>
      <c r="C51" s="9">
        <v>200301007</v>
      </c>
      <c r="D51" s="10">
        <v>27034</v>
      </c>
      <c r="E51" s="10">
        <v>37622</v>
      </c>
      <c r="F51" s="9" t="s">
        <v>67</v>
      </c>
      <c r="G51" s="9" t="s">
        <v>65</v>
      </c>
      <c r="H51" s="9" t="s">
        <v>21</v>
      </c>
      <c r="I51" s="9">
        <f>60.08/2</f>
        <v>30.04</v>
      </c>
      <c r="J51" s="9">
        <f>73.4/2</f>
        <v>36.700000000000003</v>
      </c>
      <c r="K51" s="18">
        <f>(I51+J51)/100*30</f>
        <v>20.022000000000002</v>
      </c>
      <c r="L51" s="9">
        <f>6.1/2</f>
        <v>3.05</v>
      </c>
      <c r="M51" s="18">
        <f>L51/4*15</f>
        <v>11.4375</v>
      </c>
      <c r="N51" s="11" t="s">
        <v>157</v>
      </c>
      <c r="O51" s="9">
        <v>5</v>
      </c>
      <c r="P51" s="9">
        <v>5</v>
      </c>
      <c r="Q51" s="18">
        <f>K51+M51+O51+P51</f>
        <v>41.459500000000006</v>
      </c>
      <c r="R51" s="9"/>
      <c r="S51" s="9"/>
      <c r="T51" s="9"/>
    </row>
    <row r="52" spans="1:20" ht="46.8" x14ac:dyDescent="0.3">
      <c r="A52" s="9">
        <v>2</v>
      </c>
      <c r="B52" s="11" t="s">
        <v>160</v>
      </c>
      <c r="C52" s="9">
        <v>200301005</v>
      </c>
      <c r="D52" s="10">
        <v>27824</v>
      </c>
      <c r="E52" s="10">
        <v>37622</v>
      </c>
      <c r="F52" s="9" t="s">
        <v>67</v>
      </c>
      <c r="G52" s="9" t="s">
        <v>20</v>
      </c>
      <c r="H52" s="9" t="s">
        <v>21</v>
      </c>
      <c r="I52" s="9">
        <f>61.46/2</f>
        <v>30.73</v>
      </c>
      <c r="J52" s="9">
        <f>65.8/2</f>
        <v>32.9</v>
      </c>
      <c r="K52" s="18">
        <f>(I52+J52)/100*30</f>
        <v>19.088999999999999</v>
      </c>
      <c r="L52" s="18">
        <f>7.63/2</f>
        <v>3.8149999999999999</v>
      </c>
      <c r="M52" s="18">
        <f>L52/4*15</f>
        <v>14.30625</v>
      </c>
      <c r="N52" s="11" t="s">
        <v>157</v>
      </c>
      <c r="O52" s="9">
        <v>5</v>
      </c>
      <c r="P52" s="9">
        <v>3.63</v>
      </c>
      <c r="Q52" s="18">
        <f>K52+M52+O52+P52</f>
        <v>42.02525</v>
      </c>
      <c r="R52" s="9"/>
      <c r="S52" s="9"/>
      <c r="T52" s="9"/>
    </row>
    <row r="53" spans="1:20" x14ac:dyDescent="0.3">
      <c r="A53" s="98" t="s">
        <v>54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</row>
    <row r="54" spans="1:20" ht="46.8" x14ac:dyDescent="0.3">
      <c r="A54" s="9">
        <v>1</v>
      </c>
      <c r="B54" s="9" t="s">
        <v>68</v>
      </c>
      <c r="C54" s="9">
        <v>200801005</v>
      </c>
      <c r="D54" s="9" t="s">
        <v>69</v>
      </c>
      <c r="E54" s="10">
        <v>39448</v>
      </c>
      <c r="F54" s="11" t="s">
        <v>70</v>
      </c>
      <c r="G54" s="9" t="s">
        <v>65</v>
      </c>
      <c r="H54" s="9" t="s">
        <v>21</v>
      </c>
      <c r="I54" s="9">
        <f>59.8/2</f>
        <v>29.9</v>
      </c>
      <c r="J54" s="9">
        <f>76.8/2</f>
        <v>38.4</v>
      </c>
      <c r="K54" s="9">
        <f>(I54+J54)/100*30</f>
        <v>20.49</v>
      </c>
      <c r="L54" s="18">
        <f>6.71/2</f>
        <v>3.355</v>
      </c>
      <c r="M54" s="18">
        <f>L54/4*15</f>
        <v>12.581250000000001</v>
      </c>
      <c r="N54" s="11" t="s">
        <v>158</v>
      </c>
      <c r="O54" s="9">
        <v>4</v>
      </c>
      <c r="P54" s="9">
        <v>4.91</v>
      </c>
      <c r="Q54" s="18">
        <f>K54+M54+O54+P54</f>
        <v>41.981250000000003</v>
      </c>
      <c r="R54" s="9"/>
      <c r="S54" s="9"/>
      <c r="T54" s="9"/>
    </row>
    <row r="55" spans="1:20" x14ac:dyDescent="0.3">
      <c r="A55" s="95" t="s">
        <v>55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7"/>
    </row>
    <row r="56" spans="1:20" ht="46.8" x14ac:dyDescent="0.3">
      <c r="A56" s="9">
        <v>1</v>
      </c>
      <c r="B56" s="9" t="s">
        <v>101</v>
      </c>
      <c r="C56" s="9">
        <v>20150105013</v>
      </c>
      <c r="D56" s="10">
        <v>32927</v>
      </c>
      <c r="E56" s="10">
        <v>42005</v>
      </c>
      <c r="F56" s="11" t="s">
        <v>40</v>
      </c>
      <c r="G56" s="11" t="s">
        <v>76</v>
      </c>
      <c r="H56" s="9" t="s">
        <v>21</v>
      </c>
      <c r="I56" s="9">
        <f>74.42/2</f>
        <v>37.21</v>
      </c>
      <c r="J56" s="9">
        <f>74.4/2</f>
        <v>37.200000000000003</v>
      </c>
      <c r="K56" s="18">
        <f>(I56+J56)/100*30</f>
        <v>22.323</v>
      </c>
      <c r="L56" s="9">
        <f>6.76/2</f>
        <v>3.38</v>
      </c>
      <c r="M56" s="18">
        <f>L56/4*15</f>
        <v>12.674999999999999</v>
      </c>
      <c r="N56" s="11" t="s">
        <v>119</v>
      </c>
      <c r="O56" s="9">
        <v>0</v>
      </c>
      <c r="P56" s="9">
        <v>0</v>
      </c>
      <c r="Q56" s="18">
        <f>K56+M56+O56+P56</f>
        <v>34.997999999999998</v>
      </c>
      <c r="R56" s="9"/>
      <c r="S56" s="9"/>
      <c r="T56" s="9"/>
    </row>
  </sheetData>
  <mergeCells count="18">
    <mergeCell ref="I39:J41"/>
    <mergeCell ref="I1:J1"/>
    <mergeCell ref="A3:T3"/>
    <mergeCell ref="A9:T9"/>
    <mergeCell ref="A13:T13"/>
    <mergeCell ref="A15:T15"/>
    <mergeCell ref="A16:T16"/>
    <mergeCell ref="A18:T18"/>
    <mergeCell ref="A21:T21"/>
    <mergeCell ref="A24:T24"/>
    <mergeCell ref="A34:T34"/>
    <mergeCell ref="A38:T38"/>
    <mergeCell ref="A48:T48"/>
    <mergeCell ref="A50:T50"/>
    <mergeCell ref="A53:T53"/>
    <mergeCell ref="A55:T55"/>
    <mergeCell ref="A44:T44"/>
    <mergeCell ref="A46:T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G8"/>
  <sheetViews>
    <sheetView workbookViewId="0">
      <selection activeCell="E3" sqref="E3"/>
    </sheetView>
  </sheetViews>
  <sheetFormatPr defaultRowHeight="14.4" x14ac:dyDescent="0.3"/>
  <sheetData>
    <row r="3" spans="5:7" x14ac:dyDescent="0.3">
      <c r="E3" s="16">
        <v>74</v>
      </c>
    </row>
    <row r="4" spans="5:7" x14ac:dyDescent="0.3">
      <c r="E4" s="16">
        <v>90</v>
      </c>
    </row>
    <row r="5" spans="5:7" x14ac:dyDescent="0.3">
      <c r="E5" s="16">
        <v>95</v>
      </c>
    </row>
    <row r="6" spans="5:7" x14ac:dyDescent="0.3">
      <c r="E6" s="16">
        <v>88</v>
      </c>
    </row>
    <row r="7" spans="5:7" x14ac:dyDescent="0.3">
      <c r="E7" s="16">
        <v>86</v>
      </c>
    </row>
    <row r="8" spans="5:7" x14ac:dyDescent="0.3">
      <c r="E8">
        <f>SUM(E3:E7)</f>
        <v>433</v>
      </c>
      <c r="F8">
        <f>E8/5</f>
        <v>86.6</v>
      </c>
      <c r="G8">
        <f>F8/100*40</f>
        <v>34.64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2" workbookViewId="0">
      <selection activeCell="A2" sqref="A1:XFD1048576"/>
    </sheetView>
  </sheetViews>
  <sheetFormatPr defaultColWidth="9.109375" defaultRowHeight="15.6" x14ac:dyDescent="0.3"/>
  <cols>
    <col min="1" max="1" width="6.44140625" style="6" customWidth="1"/>
    <col min="2" max="2" width="20.33203125" style="6" customWidth="1"/>
    <col min="3" max="3" width="14" style="6" bestFit="1" customWidth="1"/>
    <col min="4" max="4" width="14.88671875" style="6" customWidth="1"/>
    <col min="5" max="5" width="14" style="6" customWidth="1"/>
    <col min="6" max="6" width="14.44140625" style="6" customWidth="1"/>
    <col min="7" max="7" width="24.5546875" style="6" customWidth="1"/>
    <col min="8" max="8" width="16.88671875" style="6" customWidth="1"/>
    <col min="9" max="9" width="22.5546875" style="6" bestFit="1" customWidth="1"/>
    <col min="10" max="10" width="27.6640625" style="6" customWidth="1"/>
    <col min="11" max="16384" width="9.109375" style="6"/>
  </cols>
  <sheetData>
    <row r="1" spans="1:10" x14ac:dyDescent="0.3">
      <c r="A1" s="98" t="s">
        <v>371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31.2" x14ac:dyDescent="0.3">
      <c r="A2" s="1" t="s">
        <v>0</v>
      </c>
      <c r="B2" s="1" t="s">
        <v>1</v>
      </c>
      <c r="C2" s="1" t="s">
        <v>226</v>
      </c>
      <c r="D2" s="1" t="s">
        <v>3</v>
      </c>
      <c r="E2" s="2" t="s">
        <v>4</v>
      </c>
      <c r="F2" s="1" t="s">
        <v>5</v>
      </c>
      <c r="G2" s="1" t="s">
        <v>6</v>
      </c>
      <c r="H2" s="1" t="s">
        <v>333</v>
      </c>
      <c r="I2" s="1" t="s">
        <v>334</v>
      </c>
      <c r="J2" s="2" t="s">
        <v>335</v>
      </c>
    </row>
    <row r="3" spans="1:10" x14ac:dyDescent="0.3">
      <c r="A3" s="105" t="s">
        <v>255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x14ac:dyDescent="0.3">
      <c r="A4" s="106" t="s">
        <v>227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0" x14ac:dyDescent="0.3">
      <c r="A5" s="105" t="s">
        <v>256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0" s="23" customFormat="1" x14ac:dyDescent="0.3">
      <c r="A6" s="24">
        <v>1</v>
      </c>
      <c r="B6" s="34" t="s">
        <v>235</v>
      </c>
      <c r="C6" s="34">
        <v>20170709557</v>
      </c>
      <c r="D6" s="25">
        <v>33543</v>
      </c>
      <c r="E6" s="25">
        <v>42917</v>
      </c>
      <c r="F6" s="24" t="s">
        <v>24</v>
      </c>
      <c r="G6" s="24" t="s">
        <v>186</v>
      </c>
      <c r="H6" s="9">
        <v>17508396</v>
      </c>
      <c r="I6" s="51" t="s">
        <v>274</v>
      </c>
      <c r="J6" s="24"/>
    </row>
    <row r="7" spans="1:10" s="23" customFormat="1" x14ac:dyDescent="0.3">
      <c r="A7" s="24">
        <v>2</v>
      </c>
      <c r="B7" s="34" t="s">
        <v>321</v>
      </c>
      <c r="C7" s="34">
        <v>20190113001</v>
      </c>
      <c r="D7" s="25">
        <v>33333</v>
      </c>
      <c r="E7" s="25">
        <v>43466</v>
      </c>
      <c r="F7" s="24" t="s">
        <v>24</v>
      </c>
      <c r="G7" s="24" t="s">
        <v>20</v>
      </c>
      <c r="H7" s="9">
        <v>17275664</v>
      </c>
      <c r="I7" s="52" t="s">
        <v>275</v>
      </c>
      <c r="J7" s="24"/>
    </row>
    <row r="8" spans="1:10" s="23" customFormat="1" x14ac:dyDescent="0.3">
      <c r="A8" s="24">
        <v>3</v>
      </c>
      <c r="B8" s="34" t="s">
        <v>322</v>
      </c>
      <c r="C8" s="34">
        <v>20150105123</v>
      </c>
      <c r="D8" s="25">
        <v>31811</v>
      </c>
      <c r="E8" s="25">
        <v>42005</v>
      </c>
      <c r="F8" s="34" t="s">
        <v>161</v>
      </c>
      <c r="G8" s="24" t="s">
        <v>20</v>
      </c>
      <c r="H8" s="24">
        <v>17853438</v>
      </c>
      <c r="I8" s="59" t="s">
        <v>341</v>
      </c>
      <c r="J8" s="24"/>
    </row>
    <row r="9" spans="1:10" s="23" customFormat="1" x14ac:dyDescent="0.3">
      <c r="A9" s="105" t="s">
        <v>257</v>
      </c>
      <c r="B9" s="105"/>
      <c r="C9" s="105"/>
      <c r="D9" s="105"/>
      <c r="E9" s="105"/>
      <c r="F9" s="105"/>
      <c r="G9" s="105"/>
      <c r="H9" s="105"/>
      <c r="I9" s="105"/>
      <c r="J9" s="105"/>
    </row>
    <row r="10" spans="1:10" s="23" customFormat="1" x14ac:dyDescent="0.3">
      <c r="A10" s="24">
        <v>1</v>
      </c>
      <c r="B10" s="34" t="s">
        <v>323</v>
      </c>
      <c r="C10" s="34">
        <v>20190112980</v>
      </c>
      <c r="D10" s="25">
        <v>34315</v>
      </c>
      <c r="E10" s="25">
        <v>43466</v>
      </c>
      <c r="F10" s="24" t="s">
        <v>24</v>
      </c>
      <c r="G10" s="24" t="s">
        <v>193</v>
      </c>
      <c r="H10" s="9">
        <v>77240341</v>
      </c>
      <c r="I10" s="51" t="s">
        <v>276</v>
      </c>
      <c r="J10" s="24"/>
    </row>
    <row r="11" spans="1:10" s="23" customFormat="1" x14ac:dyDescent="0.3">
      <c r="A11" s="24">
        <v>2</v>
      </c>
      <c r="B11" s="34" t="s">
        <v>324</v>
      </c>
      <c r="C11" s="34">
        <v>20150705823</v>
      </c>
      <c r="D11" s="25">
        <v>32567</v>
      </c>
      <c r="E11" s="25">
        <v>42186</v>
      </c>
      <c r="F11" s="24" t="s">
        <v>161</v>
      </c>
      <c r="G11" s="34" t="s">
        <v>233</v>
      </c>
      <c r="H11" s="54">
        <v>17506203</v>
      </c>
      <c r="I11" s="51" t="s">
        <v>277</v>
      </c>
      <c r="J11" s="68" t="s">
        <v>269</v>
      </c>
    </row>
    <row r="12" spans="1:10" x14ac:dyDescent="0.3">
      <c r="A12" s="9">
        <v>3</v>
      </c>
      <c r="B12" s="34" t="s">
        <v>325</v>
      </c>
      <c r="C12" s="34">
        <v>20180111330</v>
      </c>
      <c r="D12" s="10">
        <v>33788</v>
      </c>
      <c r="E12" s="10">
        <v>43101</v>
      </c>
      <c r="F12" s="9" t="s">
        <v>24</v>
      </c>
      <c r="G12" s="50" t="s">
        <v>200</v>
      </c>
      <c r="H12" s="9">
        <v>17591361</v>
      </c>
      <c r="I12" s="52" t="s">
        <v>278</v>
      </c>
      <c r="J12" s="9" t="s">
        <v>270</v>
      </c>
    </row>
    <row r="13" spans="1:10" s="23" customFormat="1" x14ac:dyDescent="0.3">
      <c r="A13" s="24">
        <v>4</v>
      </c>
      <c r="B13" s="66" t="s">
        <v>363</v>
      </c>
      <c r="C13" s="66">
        <v>20170107953</v>
      </c>
      <c r="D13" s="25">
        <v>32914</v>
      </c>
      <c r="E13" s="25">
        <v>42736</v>
      </c>
      <c r="F13" s="24" t="s">
        <v>24</v>
      </c>
      <c r="G13" s="26" t="s">
        <v>193</v>
      </c>
      <c r="H13" s="24">
        <v>17917631</v>
      </c>
      <c r="I13" s="59" t="s">
        <v>370</v>
      </c>
      <c r="J13" s="24"/>
    </row>
    <row r="14" spans="1:10" s="23" customFormat="1" x14ac:dyDescent="0.3">
      <c r="A14" s="105" t="s">
        <v>258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0" s="23" customFormat="1" ht="46.8" x14ac:dyDescent="0.3">
      <c r="A15" s="24">
        <v>1</v>
      </c>
      <c r="B15" s="34" t="s">
        <v>230</v>
      </c>
      <c r="C15" s="34">
        <v>20150105147</v>
      </c>
      <c r="D15" s="25">
        <v>31853</v>
      </c>
      <c r="E15" s="25">
        <v>42005</v>
      </c>
      <c r="F15" s="24" t="s">
        <v>161</v>
      </c>
      <c r="G15" s="34" t="s">
        <v>231</v>
      </c>
      <c r="H15" s="9">
        <v>17909502</v>
      </c>
      <c r="I15" s="53" t="s">
        <v>279</v>
      </c>
      <c r="J15" s="24"/>
    </row>
    <row r="16" spans="1:10" s="23" customFormat="1" x14ac:dyDescent="0.3">
      <c r="A16" s="24">
        <v>2</v>
      </c>
      <c r="B16" s="34" t="s">
        <v>232</v>
      </c>
      <c r="C16" s="34">
        <v>20180111322</v>
      </c>
      <c r="D16" s="25">
        <v>33823</v>
      </c>
      <c r="E16" s="25">
        <v>43101</v>
      </c>
      <c r="F16" s="24" t="s">
        <v>24</v>
      </c>
      <c r="G16" s="24" t="s">
        <v>186</v>
      </c>
      <c r="H16" s="54">
        <v>17393387</v>
      </c>
      <c r="I16" s="52" t="s">
        <v>280</v>
      </c>
      <c r="J16" s="24"/>
    </row>
    <row r="17" spans="1:10" x14ac:dyDescent="0.3">
      <c r="A17" s="105" t="s">
        <v>259</v>
      </c>
      <c r="B17" s="105"/>
      <c r="C17" s="105"/>
      <c r="D17" s="105"/>
      <c r="E17" s="105"/>
      <c r="F17" s="105"/>
      <c r="G17" s="105"/>
      <c r="H17" s="105"/>
      <c r="I17" s="105"/>
      <c r="J17" s="105"/>
    </row>
    <row r="18" spans="1:10" s="23" customFormat="1" x14ac:dyDescent="0.3">
      <c r="A18" s="24">
        <v>1</v>
      </c>
      <c r="B18" s="34" t="s">
        <v>326</v>
      </c>
      <c r="C18" s="34">
        <v>20170709519</v>
      </c>
      <c r="D18" s="25">
        <v>33712</v>
      </c>
      <c r="E18" s="25">
        <v>42917</v>
      </c>
      <c r="F18" s="24" t="s">
        <v>24</v>
      </c>
      <c r="G18" s="24" t="s">
        <v>193</v>
      </c>
      <c r="H18" s="9">
        <v>17451618</v>
      </c>
      <c r="I18" s="51" t="s">
        <v>281</v>
      </c>
      <c r="J18" s="24"/>
    </row>
    <row r="19" spans="1:10" s="23" customFormat="1" x14ac:dyDescent="0.3">
      <c r="A19" s="24">
        <v>2</v>
      </c>
      <c r="B19" s="34" t="s">
        <v>327</v>
      </c>
      <c r="C19" s="34">
        <v>20160707292</v>
      </c>
      <c r="D19" s="25">
        <v>33372</v>
      </c>
      <c r="E19" s="25">
        <v>42552</v>
      </c>
      <c r="F19" s="24" t="s">
        <v>24</v>
      </c>
      <c r="G19" s="24" t="s">
        <v>186</v>
      </c>
      <c r="H19" s="9">
        <v>17442672</v>
      </c>
      <c r="I19" s="52" t="s">
        <v>282</v>
      </c>
      <c r="J19" s="24" t="s">
        <v>367</v>
      </c>
    </row>
    <row r="20" spans="1:10" x14ac:dyDescent="0.3">
      <c r="A20" s="24">
        <v>3</v>
      </c>
      <c r="B20" s="24" t="s">
        <v>238</v>
      </c>
      <c r="C20" s="48">
        <v>20160707309</v>
      </c>
      <c r="D20" s="25">
        <v>31788</v>
      </c>
      <c r="E20" s="10">
        <v>42552</v>
      </c>
      <c r="F20" s="24" t="s">
        <v>24</v>
      </c>
      <c r="G20" s="34" t="s">
        <v>260</v>
      </c>
      <c r="H20" s="9">
        <v>17354566</v>
      </c>
      <c r="I20" s="52" t="s">
        <v>283</v>
      </c>
      <c r="J20" s="9" t="s">
        <v>368</v>
      </c>
    </row>
    <row r="21" spans="1:10" x14ac:dyDescent="0.3">
      <c r="A21" s="9">
        <v>4</v>
      </c>
      <c r="B21" s="9" t="s">
        <v>236</v>
      </c>
      <c r="C21" s="9">
        <v>20170709550</v>
      </c>
      <c r="D21" s="10">
        <v>33425</v>
      </c>
      <c r="E21" s="10">
        <v>42917</v>
      </c>
      <c r="F21" s="9" t="s">
        <v>24</v>
      </c>
      <c r="G21" s="9" t="s">
        <v>237</v>
      </c>
      <c r="H21" s="9">
        <v>17767720</v>
      </c>
      <c r="I21" s="51" t="s">
        <v>284</v>
      </c>
      <c r="J21" s="9" t="s">
        <v>366</v>
      </c>
    </row>
    <row r="22" spans="1:10" s="23" customFormat="1" x14ac:dyDescent="0.3">
      <c r="A22" s="24">
        <v>5</v>
      </c>
      <c r="B22" s="66" t="s">
        <v>364</v>
      </c>
      <c r="C22" s="66">
        <v>20170107936</v>
      </c>
      <c r="D22" s="67">
        <v>42736</v>
      </c>
      <c r="E22" s="25">
        <v>33585</v>
      </c>
      <c r="F22" s="24" t="s">
        <v>24</v>
      </c>
      <c r="G22" s="24" t="s">
        <v>75</v>
      </c>
      <c r="H22" s="24">
        <v>17945840</v>
      </c>
      <c r="I22" s="59" t="s">
        <v>369</v>
      </c>
      <c r="J22" s="24"/>
    </row>
    <row r="23" spans="1:10" x14ac:dyDescent="0.3">
      <c r="A23" s="105" t="s">
        <v>261</v>
      </c>
      <c r="B23" s="105"/>
      <c r="C23" s="105"/>
      <c r="D23" s="105"/>
      <c r="E23" s="105"/>
      <c r="F23" s="105"/>
      <c r="G23" s="105"/>
      <c r="H23" s="105"/>
      <c r="I23" s="105"/>
      <c r="J23" s="105"/>
    </row>
    <row r="24" spans="1:10" s="23" customFormat="1" x14ac:dyDescent="0.3">
      <c r="A24" s="24">
        <v>1</v>
      </c>
      <c r="B24" s="64" t="s">
        <v>360</v>
      </c>
      <c r="C24" s="64">
        <v>20190112989</v>
      </c>
      <c r="D24" s="25">
        <v>34391</v>
      </c>
      <c r="E24" s="25">
        <v>43466</v>
      </c>
      <c r="F24" s="24" t="s">
        <v>24</v>
      </c>
      <c r="G24" s="64" t="s">
        <v>361</v>
      </c>
      <c r="H24" s="24">
        <v>17574458</v>
      </c>
      <c r="I24" s="65" t="s">
        <v>362</v>
      </c>
      <c r="J24" s="24"/>
    </row>
    <row r="25" spans="1:10" x14ac:dyDescent="0.3">
      <c r="A25" s="9">
        <v>4</v>
      </c>
      <c r="B25" s="34" t="s">
        <v>331</v>
      </c>
      <c r="C25" s="34">
        <v>20180111332</v>
      </c>
      <c r="D25" s="10">
        <v>32750</v>
      </c>
      <c r="E25" s="35">
        <v>43101</v>
      </c>
      <c r="F25" s="9" t="s">
        <v>24</v>
      </c>
      <c r="G25" s="34" t="s">
        <v>228</v>
      </c>
      <c r="H25" s="9">
        <v>17327151</v>
      </c>
      <c r="I25" s="51" t="s">
        <v>292</v>
      </c>
      <c r="J25" s="49"/>
    </row>
    <row r="26" spans="1:10" x14ac:dyDescent="0.3">
      <c r="A26" s="105" t="s">
        <v>262</v>
      </c>
      <c r="B26" s="105"/>
      <c r="C26" s="105"/>
      <c r="D26" s="105"/>
      <c r="E26" s="105"/>
      <c r="F26" s="105"/>
      <c r="G26" s="105"/>
      <c r="H26" s="105"/>
      <c r="I26" s="105"/>
      <c r="J26" s="105"/>
    </row>
    <row r="27" spans="1:10" x14ac:dyDescent="0.3">
      <c r="A27" s="9">
        <v>1</v>
      </c>
      <c r="B27" s="34" t="s">
        <v>229</v>
      </c>
      <c r="C27" s="34">
        <v>20140103223</v>
      </c>
      <c r="D27" s="10">
        <v>30724</v>
      </c>
      <c r="E27" s="10">
        <v>41640</v>
      </c>
      <c r="F27" s="34" t="s">
        <v>161</v>
      </c>
      <c r="G27" s="9" t="s">
        <v>20</v>
      </c>
      <c r="H27" s="9">
        <v>17789856</v>
      </c>
      <c r="I27" s="52" t="s">
        <v>285</v>
      </c>
      <c r="J27" s="49"/>
    </row>
    <row r="28" spans="1:10" x14ac:dyDescent="0.3">
      <c r="A28" s="9">
        <v>2</v>
      </c>
      <c r="B28" s="34" t="s">
        <v>328</v>
      </c>
      <c r="C28" s="34">
        <v>20160707296</v>
      </c>
      <c r="D28" s="29">
        <v>33107</v>
      </c>
      <c r="E28" s="30">
        <v>42552</v>
      </c>
      <c r="F28" s="50" t="s">
        <v>24</v>
      </c>
      <c r="G28" s="47" t="s">
        <v>186</v>
      </c>
      <c r="H28" s="9">
        <v>17623079</v>
      </c>
      <c r="I28" s="52" t="s">
        <v>286</v>
      </c>
      <c r="J28" s="9" t="s">
        <v>271</v>
      </c>
    </row>
    <row r="29" spans="1:10" x14ac:dyDescent="0.3">
      <c r="A29" s="9">
        <v>3</v>
      </c>
      <c r="B29" s="34" t="s">
        <v>88</v>
      </c>
      <c r="C29" s="34">
        <v>20170107840</v>
      </c>
      <c r="D29" s="29">
        <v>33327</v>
      </c>
      <c r="E29" s="30">
        <v>42736</v>
      </c>
      <c r="F29" s="50" t="s">
        <v>24</v>
      </c>
      <c r="G29" s="9" t="s">
        <v>228</v>
      </c>
      <c r="H29" s="9">
        <v>17331850</v>
      </c>
      <c r="I29" s="51" t="s">
        <v>287</v>
      </c>
      <c r="J29" s="49"/>
    </row>
    <row r="30" spans="1:10" x14ac:dyDescent="0.3">
      <c r="A30" s="9">
        <v>4</v>
      </c>
      <c r="B30" s="21" t="s">
        <v>357</v>
      </c>
      <c r="C30" s="21">
        <v>20170108492</v>
      </c>
      <c r="D30" s="29">
        <v>33074</v>
      </c>
      <c r="E30" s="30">
        <v>42736</v>
      </c>
      <c r="F30" s="61" t="s">
        <v>24</v>
      </c>
      <c r="G30" s="9" t="s">
        <v>358</v>
      </c>
      <c r="H30" s="9">
        <v>17353766</v>
      </c>
      <c r="I30" s="52" t="s">
        <v>359</v>
      </c>
      <c r="J30" s="60"/>
    </row>
    <row r="31" spans="1:10" x14ac:dyDescent="0.3">
      <c r="A31" s="105" t="s">
        <v>263</v>
      </c>
      <c r="B31" s="105"/>
      <c r="C31" s="105"/>
      <c r="D31" s="105"/>
      <c r="E31" s="105"/>
      <c r="F31" s="105"/>
      <c r="G31" s="105"/>
      <c r="H31" s="105"/>
      <c r="I31" s="105"/>
      <c r="J31" s="105"/>
    </row>
    <row r="32" spans="1:10" x14ac:dyDescent="0.3">
      <c r="A32" s="9">
        <v>1</v>
      </c>
      <c r="B32" s="50" t="s">
        <v>89</v>
      </c>
      <c r="C32" s="9">
        <v>20170709559</v>
      </c>
      <c r="D32" s="29">
        <v>33740</v>
      </c>
      <c r="E32" s="30">
        <v>42917</v>
      </c>
      <c r="F32" s="50" t="s">
        <v>24</v>
      </c>
      <c r="G32" s="50" t="s">
        <v>241</v>
      </c>
      <c r="H32" s="9">
        <v>17764900</v>
      </c>
      <c r="I32" s="52" t="s">
        <v>288</v>
      </c>
      <c r="J32" s="49"/>
    </row>
    <row r="33" spans="1:10" x14ac:dyDescent="0.3">
      <c r="A33" s="9">
        <v>6</v>
      </c>
      <c r="B33" s="9" t="s">
        <v>249</v>
      </c>
      <c r="C33" s="9">
        <v>20190112882</v>
      </c>
      <c r="D33" s="10">
        <v>33822</v>
      </c>
      <c r="E33" s="10">
        <v>43466</v>
      </c>
      <c r="F33" s="9" t="s">
        <v>24</v>
      </c>
      <c r="G33" s="9" t="s">
        <v>250</v>
      </c>
      <c r="H33" s="9">
        <v>77620314</v>
      </c>
      <c r="I33" s="52" t="s">
        <v>301</v>
      </c>
      <c r="J33" s="9" t="s">
        <v>365</v>
      </c>
    </row>
    <row r="34" spans="1:10" x14ac:dyDescent="0.3">
      <c r="A34" s="105" t="s">
        <v>264</v>
      </c>
      <c r="B34" s="105"/>
      <c r="C34" s="105"/>
      <c r="D34" s="105"/>
      <c r="E34" s="105"/>
      <c r="F34" s="105"/>
      <c r="G34" s="105"/>
      <c r="H34" s="105"/>
      <c r="I34" s="105"/>
      <c r="J34" s="105"/>
    </row>
    <row r="35" spans="1:10" x14ac:dyDescent="0.3">
      <c r="A35" s="9">
        <v>1</v>
      </c>
      <c r="B35" s="50" t="s">
        <v>196</v>
      </c>
      <c r="C35" s="9">
        <v>20170709551</v>
      </c>
      <c r="D35" s="10">
        <v>34048</v>
      </c>
      <c r="E35" s="10">
        <v>42917</v>
      </c>
      <c r="F35" s="9" t="s">
        <v>24</v>
      </c>
      <c r="G35" s="47" t="s">
        <v>197</v>
      </c>
      <c r="H35" s="9">
        <v>77305598</v>
      </c>
      <c r="I35" s="51" t="s">
        <v>289</v>
      </c>
      <c r="J35" s="49"/>
    </row>
    <row r="36" spans="1:10" x14ac:dyDescent="0.3">
      <c r="A36" s="9">
        <v>2</v>
      </c>
      <c r="B36" s="34" t="s">
        <v>329</v>
      </c>
      <c r="C36" s="34">
        <v>20170107957</v>
      </c>
      <c r="D36" s="10">
        <v>32915</v>
      </c>
      <c r="E36" s="10">
        <v>42736</v>
      </c>
      <c r="F36" s="50" t="s">
        <v>24</v>
      </c>
      <c r="G36" s="34" t="s">
        <v>233</v>
      </c>
      <c r="H36" s="9">
        <v>17700067</v>
      </c>
      <c r="I36" s="51" t="s">
        <v>290</v>
      </c>
      <c r="J36" s="49"/>
    </row>
    <row r="37" spans="1:10" s="23" customFormat="1" x14ac:dyDescent="0.3">
      <c r="A37" s="24">
        <v>3</v>
      </c>
      <c r="B37" s="34" t="s">
        <v>330</v>
      </c>
      <c r="C37" s="34">
        <v>20140103215</v>
      </c>
      <c r="D37" s="25">
        <v>31718</v>
      </c>
      <c r="E37" s="25">
        <v>41640</v>
      </c>
      <c r="F37" s="34" t="s">
        <v>161</v>
      </c>
      <c r="G37" s="34" t="s">
        <v>234</v>
      </c>
      <c r="H37" s="9">
        <v>17286393</v>
      </c>
      <c r="I37" s="51" t="s">
        <v>291</v>
      </c>
      <c r="J37" s="49"/>
    </row>
    <row r="38" spans="1:10" x14ac:dyDescent="0.3">
      <c r="A38" s="9">
        <v>5</v>
      </c>
      <c r="B38" s="21" t="s">
        <v>337</v>
      </c>
      <c r="C38" s="21">
        <v>20190112995</v>
      </c>
      <c r="D38" s="10">
        <v>33970</v>
      </c>
      <c r="E38" s="35">
        <v>43466</v>
      </c>
      <c r="F38" s="9" t="s">
        <v>24</v>
      </c>
      <c r="G38" s="34" t="s">
        <v>195</v>
      </c>
      <c r="H38" s="9">
        <v>77443543</v>
      </c>
      <c r="I38" s="58" t="s">
        <v>340</v>
      </c>
      <c r="J38" s="56"/>
    </row>
    <row r="39" spans="1:10" x14ac:dyDescent="0.3">
      <c r="A39" s="105" t="s">
        <v>265</v>
      </c>
      <c r="B39" s="105"/>
      <c r="C39" s="105"/>
      <c r="D39" s="105"/>
      <c r="E39" s="105"/>
      <c r="F39" s="105"/>
      <c r="G39" s="105"/>
      <c r="H39" s="105"/>
      <c r="I39" s="105"/>
      <c r="J39" s="105"/>
    </row>
    <row r="40" spans="1:10" x14ac:dyDescent="0.3">
      <c r="A40" s="9">
        <v>1</v>
      </c>
      <c r="B40" s="34" t="s">
        <v>173</v>
      </c>
      <c r="C40" s="34">
        <v>20180711994</v>
      </c>
      <c r="D40" s="10">
        <v>33239</v>
      </c>
      <c r="E40" s="10">
        <v>43282</v>
      </c>
      <c r="F40" s="9" t="s">
        <v>24</v>
      </c>
      <c r="G40" s="50" t="s">
        <v>239</v>
      </c>
      <c r="H40" s="9" t="s">
        <v>293</v>
      </c>
      <c r="I40" s="52" t="s">
        <v>294</v>
      </c>
      <c r="J40" s="9" t="s">
        <v>272</v>
      </c>
    </row>
    <row r="41" spans="1:10" x14ac:dyDescent="0.3">
      <c r="A41" s="9">
        <v>2</v>
      </c>
      <c r="B41" s="50" t="s">
        <v>206</v>
      </c>
      <c r="C41" s="34">
        <v>20140703222</v>
      </c>
      <c r="D41" s="10">
        <v>31846</v>
      </c>
      <c r="E41" s="10">
        <v>41821</v>
      </c>
      <c r="F41" s="9" t="s">
        <v>240</v>
      </c>
      <c r="G41" s="50" t="s">
        <v>20</v>
      </c>
      <c r="H41" s="9">
        <v>17121217</v>
      </c>
      <c r="I41" s="52" t="s">
        <v>295</v>
      </c>
      <c r="J41" s="49"/>
    </row>
    <row r="42" spans="1:10" x14ac:dyDescent="0.3">
      <c r="A42" s="105" t="s">
        <v>266</v>
      </c>
      <c r="B42" s="105"/>
      <c r="C42" s="105"/>
      <c r="D42" s="105"/>
      <c r="E42" s="105"/>
      <c r="F42" s="105"/>
      <c r="G42" s="105"/>
      <c r="H42" s="105"/>
      <c r="I42" s="105"/>
      <c r="J42" s="105"/>
    </row>
    <row r="43" spans="1:10" s="23" customFormat="1" x14ac:dyDescent="0.3">
      <c r="A43" s="106" t="s">
        <v>227</v>
      </c>
      <c r="B43" s="106"/>
      <c r="C43" s="106"/>
      <c r="D43" s="106"/>
      <c r="E43" s="106"/>
      <c r="F43" s="106"/>
      <c r="G43" s="106"/>
      <c r="H43" s="106"/>
      <c r="I43" s="106"/>
      <c r="J43" s="106"/>
    </row>
    <row r="44" spans="1:10" x14ac:dyDescent="0.3">
      <c r="A44" s="105" t="s">
        <v>267</v>
      </c>
      <c r="B44" s="105"/>
      <c r="C44" s="105"/>
      <c r="D44" s="105"/>
      <c r="E44" s="105"/>
      <c r="F44" s="105"/>
      <c r="G44" s="105"/>
      <c r="H44" s="105"/>
      <c r="I44" s="105"/>
      <c r="J44" s="105"/>
    </row>
    <row r="45" spans="1:10" x14ac:dyDescent="0.3">
      <c r="A45" s="9">
        <v>1</v>
      </c>
      <c r="B45" s="9" t="s">
        <v>242</v>
      </c>
      <c r="C45" s="9">
        <v>20150105136</v>
      </c>
      <c r="D45" s="10">
        <v>32193</v>
      </c>
      <c r="E45" s="10">
        <v>42005</v>
      </c>
      <c r="F45" s="9" t="s">
        <v>161</v>
      </c>
      <c r="G45" s="9" t="s">
        <v>193</v>
      </c>
      <c r="H45" s="9">
        <v>17701849</v>
      </c>
      <c r="I45" s="51" t="s">
        <v>296</v>
      </c>
      <c r="J45" s="9"/>
    </row>
    <row r="46" spans="1:10" x14ac:dyDescent="0.3">
      <c r="A46" s="9">
        <v>2</v>
      </c>
      <c r="B46" s="9" t="s">
        <v>103</v>
      </c>
      <c r="C46" s="9">
        <v>20130101257</v>
      </c>
      <c r="D46" s="10">
        <v>31676</v>
      </c>
      <c r="E46" s="10">
        <v>41275</v>
      </c>
      <c r="F46" s="9" t="s">
        <v>161</v>
      </c>
      <c r="G46" s="9" t="s">
        <v>20</v>
      </c>
      <c r="H46" s="9">
        <v>17276600</v>
      </c>
      <c r="I46" s="52" t="s">
        <v>297</v>
      </c>
      <c r="J46" s="9"/>
    </row>
    <row r="47" spans="1:10" x14ac:dyDescent="0.3">
      <c r="A47" s="9">
        <v>3</v>
      </c>
      <c r="B47" s="9" t="s">
        <v>243</v>
      </c>
      <c r="C47" s="9">
        <v>20180111350</v>
      </c>
      <c r="D47" s="10">
        <v>33595</v>
      </c>
      <c r="E47" s="10">
        <v>43101</v>
      </c>
      <c r="F47" s="9" t="s">
        <v>24</v>
      </c>
      <c r="G47" s="9" t="s">
        <v>244</v>
      </c>
      <c r="H47" s="9">
        <v>77764544</v>
      </c>
      <c r="I47" s="52" t="s">
        <v>298</v>
      </c>
      <c r="J47" s="9" t="s">
        <v>273</v>
      </c>
    </row>
    <row r="48" spans="1:10" x14ac:dyDescent="0.3">
      <c r="A48" s="9">
        <v>4</v>
      </c>
      <c r="B48" s="9" t="s">
        <v>245</v>
      </c>
      <c r="C48" s="9">
        <v>20180111331</v>
      </c>
      <c r="D48" s="10">
        <v>33251</v>
      </c>
      <c r="E48" s="10">
        <v>43101</v>
      </c>
      <c r="F48" s="9" t="s">
        <v>24</v>
      </c>
      <c r="G48" s="9" t="s">
        <v>246</v>
      </c>
      <c r="H48" s="9">
        <v>17565720</v>
      </c>
      <c r="I48" s="51" t="s">
        <v>299</v>
      </c>
      <c r="J48" s="9"/>
    </row>
    <row r="49" spans="1:10" x14ac:dyDescent="0.3">
      <c r="A49" s="9">
        <v>5</v>
      </c>
      <c r="B49" s="9" t="s">
        <v>247</v>
      </c>
      <c r="C49" s="9">
        <v>20180711999</v>
      </c>
      <c r="D49" s="10">
        <v>34284</v>
      </c>
      <c r="E49" s="10">
        <v>43282</v>
      </c>
      <c r="F49" s="9" t="s">
        <v>24</v>
      </c>
      <c r="G49" s="9" t="s">
        <v>248</v>
      </c>
      <c r="H49" s="9">
        <v>17402307</v>
      </c>
      <c r="I49" s="52" t="s">
        <v>300</v>
      </c>
      <c r="J49" s="9"/>
    </row>
    <row r="50" spans="1:10" x14ac:dyDescent="0.3">
      <c r="A50" s="9">
        <v>6</v>
      </c>
      <c r="B50" s="21" t="s">
        <v>336</v>
      </c>
      <c r="C50" s="21">
        <v>20190112991</v>
      </c>
      <c r="D50" s="10">
        <v>34556</v>
      </c>
      <c r="E50" s="10">
        <v>43466</v>
      </c>
      <c r="F50" s="9" t="s">
        <v>24</v>
      </c>
      <c r="G50" s="9" t="s">
        <v>200</v>
      </c>
      <c r="H50" s="9">
        <v>17574462</v>
      </c>
      <c r="I50" s="52" t="s">
        <v>338</v>
      </c>
      <c r="J50" s="9"/>
    </row>
    <row r="51" spans="1:10" x14ac:dyDescent="0.3">
      <c r="A51" s="105" t="s">
        <v>268</v>
      </c>
      <c r="B51" s="105"/>
      <c r="C51" s="105"/>
      <c r="D51" s="105"/>
      <c r="E51" s="105"/>
      <c r="F51" s="105"/>
      <c r="G51" s="105"/>
      <c r="H51" s="105"/>
      <c r="I51" s="105"/>
      <c r="J51" s="105"/>
    </row>
    <row r="52" spans="1:10" x14ac:dyDescent="0.3">
      <c r="A52" s="9">
        <v>1</v>
      </c>
      <c r="B52" s="34" t="s">
        <v>251</v>
      </c>
      <c r="C52" s="34">
        <v>201101130</v>
      </c>
      <c r="D52" s="10">
        <v>30827</v>
      </c>
      <c r="E52" s="10">
        <v>40544</v>
      </c>
      <c r="F52" s="9" t="s">
        <v>33</v>
      </c>
      <c r="G52" s="9" t="s">
        <v>193</v>
      </c>
      <c r="H52" s="9" t="s">
        <v>302</v>
      </c>
      <c r="I52" s="51" t="s">
        <v>303</v>
      </c>
      <c r="J52" s="9"/>
    </row>
    <row r="53" spans="1:10" x14ac:dyDescent="0.3">
      <c r="A53" s="9">
        <v>2</v>
      </c>
      <c r="B53" s="34" t="s">
        <v>332</v>
      </c>
      <c r="C53" s="34">
        <v>20170709561</v>
      </c>
      <c r="D53" s="10">
        <v>32727</v>
      </c>
      <c r="E53" s="10">
        <v>42917</v>
      </c>
      <c r="F53" s="9" t="s">
        <v>24</v>
      </c>
      <c r="G53" s="9" t="s">
        <v>252</v>
      </c>
      <c r="H53" s="9">
        <v>77670014</v>
      </c>
      <c r="I53" s="52" t="s">
        <v>304</v>
      </c>
      <c r="J53" s="9"/>
    </row>
    <row r="54" spans="1:10" x14ac:dyDescent="0.3">
      <c r="A54" s="9">
        <v>3</v>
      </c>
      <c r="B54" s="34" t="s">
        <v>253</v>
      </c>
      <c r="C54" s="34">
        <v>200601121</v>
      </c>
      <c r="D54" s="10">
        <v>28109</v>
      </c>
      <c r="E54" s="10">
        <v>38718</v>
      </c>
      <c r="F54" s="9" t="s">
        <v>254</v>
      </c>
      <c r="G54" s="9" t="s">
        <v>193</v>
      </c>
      <c r="H54" s="9">
        <v>17111387</v>
      </c>
      <c r="I54" s="51" t="s">
        <v>305</v>
      </c>
      <c r="J54" s="9"/>
    </row>
    <row r="55" spans="1:10" x14ac:dyDescent="0.3">
      <c r="A55" s="107" t="s">
        <v>308</v>
      </c>
      <c r="B55" s="107"/>
      <c r="C55" s="107"/>
      <c r="D55" s="107"/>
      <c r="E55" s="107"/>
      <c r="F55" s="107"/>
      <c r="G55" s="107"/>
      <c r="H55" s="107"/>
      <c r="I55" s="55"/>
      <c r="J55" s="55"/>
    </row>
    <row r="56" spans="1:10" x14ac:dyDescent="0.3">
      <c r="A56" s="9">
        <v>1</v>
      </c>
      <c r="B56" s="50" t="s">
        <v>309</v>
      </c>
      <c r="C56" s="9">
        <v>201201062</v>
      </c>
      <c r="D56" s="10">
        <v>30379</v>
      </c>
      <c r="E56" s="10">
        <v>40909</v>
      </c>
      <c r="F56" s="9" t="s">
        <v>310</v>
      </c>
      <c r="G56" s="50" t="s">
        <v>311</v>
      </c>
      <c r="H56" s="9">
        <v>77822252</v>
      </c>
      <c r="I56" s="9"/>
      <c r="J56" s="9"/>
    </row>
    <row r="57" spans="1:10" x14ac:dyDescent="0.3">
      <c r="A57" s="107" t="s">
        <v>312</v>
      </c>
      <c r="B57" s="107"/>
      <c r="C57" s="107"/>
      <c r="D57" s="107"/>
      <c r="E57" s="107"/>
      <c r="F57" s="107"/>
      <c r="G57" s="107"/>
      <c r="H57" s="107"/>
      <c r="I57" s="55"/>
      <c r="J57" s="55"/>
    </row>
    <row r="58" spans="1:10" x14ac:dyDescent="0.3">
      <c r="A58" s="9">
        <v>1</v>
      </c>
      <c r="B58" s="50" t="s">
        <v>313</v>
      </c>
      <c r="C58" s="9">
        <v>201201059</v>
      </c>
      <c r="D58" s="9" t="s">
        <v>314</v>
      </c>
      <c r="E58" s="10">
        <v>40909</v>
      </c>
      <c r="F58" s="21" t="s">
        <v>339</v>
      </c>
      <c r="G58" s="50" t="s">
        <v>315</v>
      </c>
      <c r="H58" s="9">
        <v>17954567</v>
      </c>
      <c r="I58" s="52" t="s">
        <v>320</v>
      </c>
      <c r="J58" s="9"/>
    </row>
    <row r="59" spans="1:10" x14ac:dyDescent="0.3">
      <c r="A59" s="107" t="s">
        <v>316</v>
      </c>
      <c r="B59" s="107"/>
      <c r="C59" s="107"/>
      <c r="D59" s="107"/>
      <c r="E59" s="107"/>
      <c r="F59" s="107"/>
      <c r="G59" s="107"/>
      <c r="H59" s="107"/>
      <c r="I59" s="55"/>
      <c r="J59" s="55"/>
    </row>
    <row r="60" spans="1:10" x14ac:dyDescent="0.3">
      <c r="A60" s="9">
        <v>1</v>
      </c>
      <c r="B60" s="50" t="s">
        <v>317</v>
      </c>
      <c r="C60" s="9">
        <v>20160106511</v>
      </c>
      <c r="D60" s="9" t="s">
        <v>318</v>
      </c>
      <c r="E60" s="10">
        <v>42370</v>
      </c>
      <c r="F60" s="21" t="s">
        <v>161</v>
      </c>
      <c r="G60" s="50"/>
      <c r="H60" s="9">
        <v>77307262</v>
      </c>
      <c r="I60" s="9"/>
      <c r="J60" s="9"/>
    </row>
    <row r="61" spans="1:10" x14ac:dyDescent="0.3">
      <c r="A61" s="107" t="s">
        <v>342</v>
      </c>
      <c r="B61" s="107"/>
      <c r="C61" s="107"/>
      <c r="D61" s="107"/>
      <c r="E61" s="107"/>
      <c r="F61" s="107"/>
      <c r="G61" s="107"/>
      <c r="H61" s="107"/>
      <c r="I61" s="55"/>
      <c r="J61" s="55"/>
    </row>
    <row r="62" spans="1:10" x14ac:dyDescent="0.3">
      <c r="A62" s="9">
        <v>1</v>
      </c>
      <c r="B62" s="50" t="s">
        <v>306</v>
      </c>
      <c r="C62" s="9">
        <v>20190113032</v>
      </c>
      <c r="D62" s="10">
        <v>35246</v>
      </c>
      <c r="E62" s="10">
        <v>43466</v>
      </c>
      <c r="F62" s="9" t="s">
        <v>307</v>
      </c>
      <c r="G62" s="50" t="s">
        <v>20</v>
      </c>
      <c r="H62" s="9">
        <v>17280943</v>
      </c>
      <c r="I62" s="52" t="s">
        <v>319</v>
      </c>
      <c r="J62" s="9"/>
    </row>
  </sheetData>
  <mergeCells count="20">
    <mergeCell ref="A61:H61"/>
    <mergeCell ref="A55:H55"/>
    <mergeCell ref="A57:H57"/>
    <mergeCell ref="A59:H59"/>
    <mergeCell ref="A1:J1"/>
    <mergeCell ref="A51:J51"/>
    <mergeCell ref="A44:J44"/>
    <mergeCell ref="A3:J3"/>
    <mergeCell ref="A5:J5"/>
    <mergeCell ref="A9:J9"/>
    <mergeCell ref="A14:J14"/>
    <mergeCell ref="A17:J17"/>
    <mergeCell ref="A4:J4"/>
    <mergeCell ref="A42:J42"/>
    <mergeCell ref="A39:J39"/>
    <mergeCell ref="A23:J23"/>
    <mergeCell ref="A43:J43"/>
    <mergeCell ref="A26:J26"/>
    <mergeCell ref="A31:J31"/>
    <mergeCell ref="A34:J34"/>
  </mergeCells>
  <hyperlinks>
    <hyperlink ref="I6" r:id="rId1"/>
    <hyperlink ref="I7" r:id="rId2"/>
    <hyperlink ref="I11" r:id="rId3"/>
    <hyperlink ref="I10" r:id="rId4"/>
    <hyperlink ref="I12" r:id="rId5"/>
    <hyperlink ref="I15" r:id="rId6"/>
    <hyperlink ref="I16" r:id="rId7"/>
    <hyperlink ref="I18" r:id="rId8"/>
    <hyperlink ref="I19" r:id="rId9"/>
    <hyperlink ref="I20" r:id="rId10"/>
    <hyperlink ref="I21" r:id="rId11"/>
    <hyperlink ref="I29" r:id="rId12"/>
    <hyperlink ref="I27" r:id="rId13"/>
    <hyperlink ref="I28" r:id="rId14"/>
    <hyperlink ref="I32" r:id="rId15"/>
    <hyperlink ref="I36" r:id="rId16"/>
    <hyperlink ref="I25" r:id="rId17"/>
    <hyperlink ref="I35" r:id="rId18"/>
    <hyperlink ref="I37" r:id="rId19"/>
    <hyperlink ref="I40" r:id="rId20"/>
    <hyperlink ref="I41" r:id="rId21"/>
    <hyperlink ref="I48" r:id="rId22"/>
    <hyperlink ref="I45" r:id="rId23"/>
    <hyperlink ref="I33" r:id="rId24"/>
    <hyperlink ref="I49" r:id="rId25"/>
    <hyperlink ref="I47" r:id="rId26"/>
    <hyperlink ref="I46" r:id="rId27"/>
    <hyperlink ref="I52" r:id="rId28"/>
    <hyperlink ref="I54" r:id="rId29"/>
    <hyperlink ref="I53" r:id="rId30"/>
    <hyperlink ref="I62" r:id="rId31"/>
    <hyperlink ref="I58" r:id="rId32"/>
    <hyperlink ref="I50" r:id="rId33"/>
    <hyperlink ref="I38" r:id="rId34" display="mailto:pretisamymatters@gmail.com"/>
    <hyperlink ref="I8" r:id="rId35"/>
    <hyperlink ref="I30" r:id="rId36"/>
    <hyperlink ref="I22" r:id="rId37"/>
    <hyperlink ref="I13" r:id="rId38"/>
  </hyperlinks>
  <pageMargins left="0.25" right="0.25" top="0.75" bottom="0.25" header="0.3" footer="0.3"/>
  <pageSetup scale="95" orientation="landscape" r:id="rId3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opLeftCell="A10" workbookViewId="0">
      <selection activeCell="A25" sqref="A25"/>
    </sheetView>
  </sheetViews>
  <sheetFormatPr defaultColWidth="9.109375" defaultRowHeight="15.6" x14ac:dyDescent="0.3"/>
  <cols>
    <col min="1" max="1" width="6.44140625" style="6" customWidth="1"/>
    <col min="2" max="2" width="20.33203125" style="63" customWidth="1"/>
    <col min="3" max="3" width="14" style="6" bestFit="1" customWidth="1"/>
    <col min="4" max="4" width="14" style="6" customWidth="1"/>
    <col min="5" max="5" width="14.88671875" style="6" customWidth="1"/>
    <col min="6" max="6" width="14" style="6" customWidth="1"/>
    <col min="7" max="7" width="14.44140625" style="6" customWidth="1"/>
    <col min="8" max="8" width="23.33203125" style="63" customWidth="1"/>
    <col min="9" max="9" width="11.109375" style="6" customWidth="1"/>
    <col min="10" max="14" width="9.109375" style="6"/>
    <col min="15" max="15" width="15.88671875" style="6" bestFit="1" customWidth="1"/>
    <col min="16" max="16384" width="9.109375" style="6"/>
  </cols>
  <sheetData>
    <row r="1" spans="1:22" ht="78" x14ac:dyDescent="0.3">
      <c r="A1" s="108" t="s">
        <v>0</v>
      </c>
      <c r="B1" s="109" t="s">
        <v>1</v>
      </c>
      <c r="C1" s="108" t="s">
        <v>226</v>
      </c>
      <c r="D1" s="111" t="s">
        <v>343</v>
      </c>
      <c r="E1" s="108" t="s">
        <v>3</v>
      </c>
      <c r="F1" s="109" t="s">
        <v>4</v>
      </c>
      <c r="G1" s="108" t="s">
        <v>5</v>
      </c>
      <c r="H1" s="109" t="s">
        <v>6</v>
      </c>
      <c r="I1" s="110" t="s">
        <v>7</v>
      </c>
      <c r="J1" s="83" t="s">
        <v>8</v>
      </c>
      <c r="K1" s="83"/>
      <c r="L1" s="3" t="s">
        <v>213</v>
      </c>
      <c r="M1" s="4" t="s">
        <v>10</v>
      </c>
      <c r="N1" s="3" t="s">
        <v>212</v>
      </c>
      <c r="O1" s="3" t="s">
        <v>12</v>
      </c>
      <c r="P1" s="3" t="s">
        <v>168</v>
      </c>
      <c r="Q1" s="3" t="s">
        <v>166</v>
      </c>
      <c r="R1" s="3" t="s">
        <v>214</v>
      </c>
      <c r="S1" s="3" t="s">
        <v>169</v>
      </c>
      <c r="T1" s="3" t="s">
        <v>13</v>
      </c>
      <c r="U1" s="5" t="s">
        <v>14</v>
      </c>
      <c r="V1" s="2" t="s">
        <v>15</v>
      </c>
    </row>
    <row r="2" spans="1:22" ht="62.4" x14ac:dyDescent="0.3">
      <c r="A2" s="108"/>
      <c r="B2" s="109"/>
      <c r="C2" s="108"/>
      <c r="D2" s="112"/>
      <c r="E2" s="108"/>
      <c r="F2" s="109"/>
      <c r="G2" s="108"/>
      <c r="H2" s="109"/>
      <c r="I2" s="110"/>
      <c r="J2" s="8" t="s">
        <v>209</v>
      </c>
      <c r="K2" s="3" t="s">
        <v>208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3">
      <c r="A3" s="84" t="s">
        <v>344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6"/>
    </row>
    <row r="4" spans="1:22" s="23" customFormat="1" x14ac:dyDescent="0.3">
      <c r="A4" s="24">
        <v>1</v>
      </c>
      <c r="B4" s="62" t="s">
        <v>235</v>
      </c>
      <c r="C4" s="54">
        <v>20170709557</v>
      </c>
      <c r="D4" s="54">
        <v>11512000312</v>
      </c>
      <c r="E4" s="25">
        <v>33543</v>
      </c>
      <c r="F4" s="25">
        <v>42917</v>
      </c>
      <c r="G4" s="24" t="s">
        <v>24</v>
      </c>
      <c r="H4" s="26" t="s">
        <v>186</v>
      </c>
      <c r="I4" s="24" t="s">
        <v>21</v>
      </c>
      <c r="J4" s="24">
        <v>62</v>
      </c>
      <c r="K4" s="24">
        <v>80</v>
      </c>
      <c r="L4" s="24"/>
      <c r="M4" s="24">
        <v>4.74</v>
      </c>
      <c r="N4" s="24">
        <v>2.36</v>
      </c>
      <c r="O4" s="24" t="s">
        <v>345</v>
      </c>
      <c r="P4" s="24">
        <v>0</v>
      </c>
      <c r="Q4" s="24">
        <f>0.45/12*36</f>
        <v>1.3499999999999999</v>
      </c>
      <c r="R4" s="24"/>
      <c r="S4" s="24"/>
      <c r="T4" s="24"/>
      <c r="U4" s="24"/>
      <c r="V4" s="24"/>
    </row>
    <row r="5" spans="1:22" s="23" customFormat="1" x14ac:dyDescent="0.3">
      <c r="A5" s="24">
        <v>2</v>
      </c>
      <c r="B5" s="62" t="s">
        <v>321</v>
      </c>
      <c r="C5" s="54">
        <v>20190113001</v>
      </c>
      <c r="D5" s="54">
        <v>10709003853</v>
      </c>
      <c r="E5" s="25">
        <v>33333</v>
      </c>
      <c r="F5" s="25">
        <v>43466</v>
      </c>
      <c r="G5" s="24" t="s">
        <v>24</v>
      </c>
      <c r="H5" s="26" t="s">
        <v>20</v>
      </c>
      <c r="I5" s="24" t="s">
        <v>21</v>
      </c>
      <c r="J5" s="24">
        <v>59.5</v>
      </c>
      <c r="K5" s="24">
        <v>85</v>
      </c>
      <c r="L5" s="24"/>
      <c r="M5" s="24"/>
      <c r="N5" s="24">
        <v>0</v>
      </c>
      <c r="O5" s="24" t="s">
        <v>346</v>
      </c>
      <c r="P5" s="24">
        <v>0</v>
      </c>
      <c r="Q5" s="24">
        <v>0</v>
      </c>
      <c r="R5" s="24"/>
      <c r="S5" s="24"/>
      <c r="T5" s="24"/>
      <c r="U5" s="24"/>
      <c r="V5" s="24"/>
    </row>
    <row r="6" spans="1:22" s="23" customFormat="1" x14ac:dyDescent="0.3">
      <c r="A6" s="24">
        <v>3</v>
      </c>
      <c r="B6" s="54" t="s">
        <v>322</v>
      </c>
      <c r="C6" s="54">
        <v>20150105123</v>
      </c>
      <c r="D6" s="23">
        <v>11506006308</v>
      </c>
      <c r="E6" s="25">
        <v>31811</v>
      </c>
      <c r="F6" s="25">
        <v>42005</v>
      </c>
      <c r="G6" s="54" t="s">
        <v>161</v>
      </c>
      <c r="H6" s="24" t="s">
        <v>20</v>
      </c>
      <c r="I6" s="24" t="s">
        <v>21</v>
      </c>
      <c r="J6" s="24"/>
      <c r="K6" s="24">
        <v>78</v>
      </c>
      <c r="L6" s="24"/>
      <c r="M6" s="24"/>
      <c r="N6" s="24"/>
      <c r="O6" s="24" t="s">
        <v>349</v>
      </c>
      <c r="P6" s="24"/>
      <c r="Q6" s="24"/>
      <c r="R6" s="24"/>
      <c r="S6" s="24"/>
      <c r="T6" s="24"/>
      <c r="U6" s="24"/>
      <c r="V6" s="24"/>
    </row>
    <row r="7" spans="1:22" x14ac:dyDescent="0.3">
      <c r="A7" s="84" t="s">
        <v>347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6"/>
    </row>
    <row r="8" spans="1:22" ht="44.25" customHeight="1" x14ac:dyDescent="0.3">
      <c r="A8" s="9">
        <v>1</v>
      </c>
      <c r="B8" s="57" t="s">
        <v>196</v>
      </c>
      <c r="C8" s="9">
        <v>20170709551</v>
      </c>
      <c r="D8" s="9">
        <v>11514002708</v>
      </c>
      <c r="E8" s="10">
        <v>34048</v>
      </c>
      <c r="F8" s="10">
        <v>42917</v>
      </c>
      <c r="G8" s="9" t="s">
        <v>24</v>
      </c>
      <c r="H8" s="62" t="s">
        <v>197</v>
      </c>
      <c r="I8" s="9" t="s">
        <v>21</v>
      </c>
      <c r="J8" s="9">
        <v>67.650000000000006</v>
      </c>
      <c r="K8" s="9">
        <v>61.8</v>
      </c>
      <c r="L8" s="9"/>
      <c r="M8" s="9"/>
      <c r="N8" s="9"/>
      <c r="O8" s="9" t="s">
        <v>345</v>
      </c>
      <c r="P8" s="9">
        <v>0</v>
      </c>
      <c r="Q8" s="9">
        <f>0.5/12*36</f>
        <v>1.5</v>
      </c>
      <c r="R8" s="9"/>
      <c r="S8" s="9"/>
      <c r="T8" s="9"/>
      <c r="U8" s="9"/>
      <c r="V8" s="9"/>
    </row>
    <row r="9" spans="1:22" x14ac:dyDescent="0.3">
      <c r="A9" s="9">
        <v>2</v>
      </c>
      <c r="B9" s="62" t="s">
        <v>329</v>
      </c>
      <c r="C9" s="54">
        <v>20170107957</v>
      </c>
      <c r="D9" s="54">
        <v>11301001993</v>
      </c>
      <c r="E9" s="10">
        <v>32915</v>
      </c>
      <c r="F9" s="10">
        <v>42736</v>
      </c>
      <c r="G9" s="57" t="s">
        <v>24</v>
      </c>
      <c r="H9" s="62" t="s">
        <v>233</v>
      </c>
      <c r="I9" s="9" t="s">
        <v>21</v>
      </c>
      <c r="J9" s="9">
        <v>68</v>
      </c>
      <c r="K9" s="9">
        <v>70</v>
      </c>
      <c r="L9" s="9"/>
      <c r="M9" s="9">
        <v>6.28</v>
      </c>
      <c r="N9" s="9">
        <v>3.14</v>
      </c>
      <c r="O9" s="9" t="s">
        <v>348</v>
      </c>
      <c r="P9" s="9">
        <v>0</v>
      </c>
      <c r="Q9" s="9">
        <f>0.5/12*42</f>
        <v>1.75</v>
      </c>
      <c r="R9" s="9"/>
      <c r="S9" s="9"/>
      <c r="T9" s="9"/>
      <c r="U9" s="9"/>
      <c r="V9" s="9"/>
    </row>
    <row r="10" spans="1:22" s="23" customFormat="1" x14ac:dyDescent="0.3">
      <c r="A10" s="24">
        <v>3</v>
      </c>
      <c r="B10" s="62" t="s">
        <v>330</v>
      </c>
      <c r="C10" s="54">
        <v>20140103215</v>
      </c>
      <c r="D10" s="54">
        <v>11103000193</v>
      </c>
      <c r="E10" s="25">
        <v>31718</v>
      </c>
      <c r="F10" s="25">
        <v>41640</v>
      </c>
      <c r="G10" s="54" t="s">
        <v>161</v>
      </c>
      <c r="H10" s="62" t="s">
        <v>234</v>
      </c>
      <c r="I10" s="9" t="s">
        <v>21</v>
      </c>
      <c r="J10" s="24"/>
      <c r="K10" s="24">
        <v>77.2</v>
      </c>
      <c r="L10" s="24"/>
      <c r="M10" s="24"/>
      <c r="N10" s="24"/>
      <c r="O10" s="24" t="s">
        <v>349</v>
      </c>
      <c r="P10" s="24">
        <v>2</v>
      </c>
      <c r="Q10" s="24">
        <v>0</v>
      </c>
      <c r="R10" s="24"/>
      <c r="S10" s="24"/>
      <c r="T10" s="24"/>
      <c r="U10" s="24"/>
      <c r="V10" s="24"/>
    </row>
    <row r="11" spans="1:22" x14ac:dyDescent="0.3">
      <c r="A11" s="9">
        <v>4</v>
      </c>
      <c r="B11" s="62" t="s">
        <v>331</v>
      </c>
      <c r="C11" s="54">
        <v>20180111332</v>
      </c>
      <c r="D11" s="54">
        <v>11603002518</v>
      </c>
      <c r="E11" s="10">
        <v>32750</v>
      </c>
      <c r="F11" s="35">
        <v>43101</v>
      </c>
      <c r="G11" s="9" t="s">
        <v>24</v>
      </c>
      <c r="H11" s="62" t="s">
        <v>228</v>
      </c>
      <c r="I11" s="9" t="s">
        <v>21</v>
      </c>
      <c r="J11" s="9">
        <v>84.5</v>
      </c>
      <c r="K11" s="9">
        <v>75.2</v>
      </c>
      <c r="L11" s="9"/>
      <c r="M11" s="9"/>
      <c r="N11" s="9"/>
      <c r="O11" s="9" t="s">
        <v>350</v>
      </c>
      <c r="P11" s="9">
        <v>0</v>
      </c>
      <c r="Q11" s="9">
        <f>0.45/12*30</f>
        <v>1.125</v>
      </c>
      <c r="R11" s="9"/>
      <c r="S11" s="9"/>
      <c r="T11" s="9"/>
      <c r="U11" s="9"/>
      <c r="V11" s="9"/>
    </row>
    <row r="12" spans="1:22" x14ac:dyDescent="0.3">
      <c r="A12" s="84" t="s">
        <v>351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6"/>
    </row>
    <row r="13" spans="1:22" x14ac:dyDescent="0.3">
      <c r="A13" s="9">
        <v>1</v>
      </c>
      <c r="B13" s="62" t="s">
        <v>173</v>
      </c>
      <c r="C13" s="54">
        <v>20180711994</v>
      </c>
      <c r="D13" s="54">
        <v>10310000883</v>
      </c>
      <c r="E13" s="10">
        <v>33239</v>
      </c>
      <c r="F13" s="10">
        <v>43282</v>
      </c>
      <c r="G13" s="9" t="s">
        <v>24</v>
      </c>
      <c r="H13" s="57" t="s">
        <v>239</v>
      </c>
      <c r="I13" s="9" t="s">
        <v>21</v>
      </c>
      <c r="J13" s="9">
        <v>62.5</v>
      </c>
      <c r="K13" s="9">
        <v>74.8</v>
      </c>
      <c r="L13" s="9"/>
      <c r="O13" s="9" t="s">
        <v>352</v>
      </c>
      <c r="P13" s="9">
        <v>0</v>
      </c>
      <c r="Q13" s="9">
        <f>0.45/12*24</f>
        <v>0.89999999999999991</v>
      </c>
      <c r="R13" s="9"/>
      <c r="S13" s="9"/>
      <c r="T13" s="9"/>
      <c r="U13" s="9"/>
      <c r="V13" s="9"/>
    </row>
    <row r="14" spans="1:22" x14ac:dyDescent="0.3">
      <c r="A14" s="9">
        <v>2</v>
      </c>
      <c r="B14" s="57" t="s">
        <v>206</v>
      </c>
      <c r="C14" s="54">
        <v>20140703222</v>
      </c>
      <c r="D14" s="54">
        <v>10906002359</v>
      </c>
      <c r="E14" s="10">
        <v>31846</v>
      </c>
      <c r="F14" s="10">
        <v>41821</v>
      </c>
      <c r="G14" s="9" t="s">
        <v>240</v>
      </c>
      <c r="H14" s="57" t="s">
        <v>20</v>
      </c>
      <c r="I14" s="9" t="s">
        <v>21</v>
      </c>
      <c r="J14" s="9">
        <v>54.5</v>
      </c>
      <c r="K14" s="9">
        <v>76.2</v>
      </c>
      <c r="L14" s="9"/>
      <c r="M14" s="9">
        <v>5</v>
      </c>
      <c r="N14" s="9">
        <v>2.5</v>
      </c>
      <c r="O14" s="9" t="s">
        <v>353</v>
      </c>
      <c r="P14" s="9">
        <v>1.5</v>
      </c>
      <c r="Q14" s="9">
        <f>0.56/12*36</f>
        <v>1.6800000000000002</v>
      </c>
      <c r="R14" s="9"/>
      <c r="S14" s="9"/>
      <c r="T14" s="9"/>
      <c r="U14" s="9"/>
      <c r="V14" s="9"/>
    </row>
    <row r="15" spans="1:22" x14ac:dyDescent="0.3">
      <c r="A15" s="84" t="s">
        <v>354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6"/>
    </row>
    <row r="16" spans="1:22" s="23" customFormat="1" x14ac:dyDescent="0.3">
      <c r="A16" s="24">
        <v>1</v>
      </c>
      <c r="B16" s="62" t="s">
        <v>326</v>
      </c>
      <c r="C16" s="54">
        <v>20170709519</v>
      </c>
      <c r="D16" s="54">
        <v>12004000686</v>
      </c>
      <c r="E16" s="25">
        <v>33712</v>
      </c>
      <c r="F16" s="25">
        <v>42917</v>
      </c>
      <c r="G16" s="24" t="s">
        <v>24</v>
      </c>
      <c r="H16" s="26" t="s">
        <v>193</v>
      </c>
      <c r="I16" s="24" t="s">
        <v>21</v>
      </c>
      <c r="J16" s="24"/>
      <c r="K16" s="24"/>
      <c r="L16" s="24"/>
      <c r="M16" s="24"/>
      <c r="N16" s="24"/>
      <c r="O16" s="24" t="s">
        <v>345</v>
      </c>
      <c r="P16" s="24">
        <v>0</v>
      </c>
      <c r="Q16" s="24">
        <v>0</v>
      </c>
      <c r="R16" s="24"/>
      <c r="S16" s="24"/>
      <c r="T16" s="24"/>
      <c r="U16" s="24"/>
      <c r="V16" s="24"/>
    </row>
    <row r="17" spans="1:22" ht="31.2" x14ac:dyDescent="0.3">
      <c r="A17" s="9">
        <v>2</v>
      </c>
      <c r="B17" s="57" t="s">
        <v>236</v>
      </c>
      <c r="C17" s="9">
        <v>20170709550</v>
      </c>
      <c r="D17" s="9">
        <v>11704000985</v>
      </c>
      <c r="E17" s="10">
        <v>33425</v>
      </c>
      <c r="F17" s="10">
        <v>42917</v>
      </c>
      <c r="G17" s="9" t="s">
        <v>24</v>
      </c>
      <c r="H17" s="57" t="s">
        <v>237</v>
      </c>
      <c r="I17" s="9" t="s">
        <v>21</v>
      </c>
      <c r="J17" s="9">
        <v>62</v>
      </c>
      <c r="K17" s="9">
        <v>84</v>
      </c>
      <c r="L17" s="9"/>
      <c r="M17" s="6">
        <v>7.63</v>
      </c>
      <c r="N17" s="6">
        <v>3.82</v>
      </c>
      <c r="O17" s="9" t="s">
        <v>345</v>
      </c>
      <c r="P17" s="9">
        <v>0</v>
      </c>
      <c r="Q17" s="6">
        <f>0.45/12*36</f>
        <v>1.3499999999999999</v>
      </c>
      <c r="R17" s="9"/>
      <c r="S17" s="9"/>
      <c r="T17" s="9"/>
      <c r="U17" s="9"/>
      <c r="V17" s="9"/>
    </row>
    <row r="18" spans="1:22" s="23" customFormat="1" x14ac:dyDescent="0.3">
      <c r="A18" s="24">
        <v>3</v>
      </c>
      <c r="B18" s="62" t="s">
        <v>327</v>
      </c>
      <c r="C18" s="54">
        <v>20160707292</v>
      </c>
      <c r="D18" s="54">
        <v>11515002892</v>
      </c>
      <c r="E18" s="25">
        <v>33372</v>
      </c>
      <c r="F18" s="25">
        <v>42552</v>
      </c>
      <c r="G18" s="24" t="s">
        <v>24</v>
      </c>
      <c r="H18" s="26" t="s">
        <v>186</v>
      </c>
      <c r="I18" s="24" t="s">
        <v>21</v>
      </c>
      <c r="J18" s="24">
        <v>54.5</v>
      </c>
      <c r="K18" s="24">
        <v>85.4</v>
      </c>
      <c r="L18" s="24"/>
      <c r="M18" s="9">
        <v>5.27</v>
      </c>
      <c r="N18" s="9">
        <v>2.64</v>
      </c>
      <c r="O18" s="24" t="s">
        <v>355</v>
      </c>
      <c r="P18" s="24">
        <v>1</v>
      </c>
      <c r="Q18" s="9">
        <f>0.45/12*36</f>
        <v>1.3499999999999999</v>
      </c>
      <c r="R18" s="24"/>
      <c r="S18" s="24"/>
      <c r="T18" s="24"/>
      <c r="U18" s="24"/>
      <c r="V18" s="24"/>
    </row>
    <row r="19" spans="1:22" ht="62.4" x14ac:dyDescent="0.3">
      <c r="A19" s="24">
        <v>4</v>
      </c>
      <c r="B19" s="26" t="s">
        <v>238</v>
      </c>
      <c r="C19" s="62">
        <v>20160707309</v>
      </c>
      <c r="D19" s="62">
        <v>11102007198</v>
      </c>
      <c r="E19" s="25">
        <v>31788</v>
      </c>
      <c r="F19" s="25">
        <v>42552</v>
      </c>
      <c r="G19" s="24" t="s">
        <v>24</v>
      </c>
      <c r="H19" s="26" t="s">
        <v>356</v>
      </c>
      <c r="I19" s="9" t="s">
        <v>21</v>
      </c>
      <c r="J19" s="9"/>
      <c r="K19" s="9"/>
      <c r="L19" s="9"/>
      <c r="M19" s="9"/>
      <c r="N19" s="9"/>
      <c r="O19" s="9" t="s">
        <v>355</v>
      </c>
      <c r="P19" s="9">
        <v>1</v>
      </c>
      <c r="Q19" s="9">
        <f>0.5/12*48</f>
        <v>2</v>
      </c>
      <c r="R19" s="9"/>
      <c r="S19" s="9"/>
      <c r="T19" s="9"/>
      <c r="U19" s="9"/>
      <c r="V19" s="9"/>
    </row>
  </sheetData>
  <mergeCells count="14">
    <mergeCell ref="A12:V12"/>
    <mergeCell ref="A15:V15"/>
    <mergeCell ref="G1:G2"/>
    <mergeCell ref="H1:H2"/>
    <mergeCell ref="I1:I2"/>
    <mergeCell ref="J1:K1"/>
    <mergeCell ref="A3:V3"/>
    <mergeCell ref="A7:V7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2" zoomScale="80" zoomScaleNormal="80" workbookViewId="0">
      <selection activeCell="J14" sqref="J14"/>
    </sheetView>
  </sheetViews>
  <sheetFormatPr defaultColWidth="9.109375" defaultRowHeight="13.8" x14ac:dyDescent="0.25"/>
  <cols>
    <col min="1" max="1" width="4.5546875" style="69" customWidth="1"/>
    <col min="2" max="2" width="24.5546875" style="69" customWidth="1"/>
    <col min="3" max="3" width="15.88671875" style="69" customWidth="1"/>
    <col min="4" max="4" width="22" style="69" bestFit="1" customWidth="1"/>
    <col min="5" max="5" width="38.6640625" style="69" customWidth="1"/>
    <col min="6" max="6" width="32.33203125" style="69" customWidth="1"/>
    <col min="7" max="7" width="43" style="69" customWidth="1"/>
    <col min="8" max="8" width="24.5546875" style="69" bestFit="1" customWidth="1"/>
    <col min="9" max="16384" width="9.109375" style="69"/>
  </cols>
  <sheetData>
    <row r="1" spans="1:8" ht="29.4" customHeight="1" x14ac:dyDescent="0.25">
      <c r="A1" s="113" t="s">
        <v>396</v>
      </c>
      <c r="B1" s="113"/>
      <c r="C1" s="113"/>
      <c r="D1" s="113"/>
      <c r="E1" s="113"/>
      <c r="F1" s="113"/>
      <c r="G1" s="113"/>
      <c r="H1" s="113"/>
    </row>
    <row r="2" spans="1:8" ht="42" customHeight="1" x14ac:dyDescent="0.25">
      <c r="A2" s="74" t="s">
        <v>0</v>
      </c>
      <c r="B2" s="74" t="s">
        <v>1</v>
      </c>
      <c r="C2" s="74" t="s">
        <v>377</v>
      </c>
      <c r="D2" s="74" t="s">
        <v>376</v>
      </c>
      <c r="E2" s="74" t="s">
        <v>6</v>
      </c>
      <c r="F2" s="74" t="s">
        <v>381</v>
      </c>
      <c r="G2" s="75" t="s">
        <v>398</v>
      </c>
      <c r="H2" s="75" t="s">
        <v>372</v>
      </c>
    </row>
    <row r="3" spans="1:8" s="71" customFormat="1" ht="15.6" x14ac:dyDescent="0.3">
      <c r="A3" s="24">
        <v>1</v>
      </c>
      <c r="B3" s="78" t="s">
        <v>235</v>
      </c>
      <c r="C3" s="78">
        <v>20170709557</v>
      </c>
      <c r="D3" s="24" t="s">
        <v>24</v>
      </c>
      <c r="E3" s="24" t="s">
        <v>186</v>
      </c>
      <c r="F3" s="73" t="s">
        <v>382</v>
      </c>
      <c r="G3" s="114" t="s">
        <v>399</v>
      </c>
      <c r="H3" s="118" t="s">
        <v>374</v>
      </c>
    </row>
    <row r="4" spans="1:8" s="71" customFormat="1" ht="15.6" x14ac:dyDescent="0.3">
      <c r="A4" s="24">
        <v>2</v>
      </c>
      <c r="B4" s="78" t="s">
        <v>324</v>
      </c>
      <c r="C4" s="78">
        <v>20150705823</v>
      </c>
      <c r="D4" s="24" t="s">
        <v>161</v>
      </c>
      <c r="E4" s="78" t="s">
        <v>373</v>
      </c>
      <c r="F4" s="73" t="s">
        <v>383</v>
      </c>
      <c r="G4" s="114"/>
      <c r="H4" s="118"/>
    </row>
    <row r="5" spans="1:8" s="71" customFormat="1" ht="15.6" x14ac:dyDescent="0.3">
      <c r="A5" s="24">
        <v>3</v>
      </c>
      <c r="B5" s="78" t="s">
        <v>230</v>
      </c>
      <c r="C5" s="78">
        <v>20150105147</v>
      </c>
      <c r="D5" s="24" t="s">
        <v>161</v>
      </c>
      <c r="E5" s="78" t="s">
        <v>231</v>
      </c>
      <c r="F5" s="115" t="s">
        <v>384</v>
      </c>
      <c r="G5" s="114"/>
      <c r="H5" s="118"/>
    </row>
    <row r="6" spans="1:8" s="71" customFormat="1" ht="31.2" x14ac:dyDescent="0.3">
      <c r="A6" s="24">
        <v>4</v>
      </c>
      <c r="B6" s="38" t="s">
        <v>232</v>
      </c>
      <c r="C6" s="78">
        <v>20180111322</v>
      </c>
      <c r="D6" s="24" t="s">
        <v>24</v>
      </c>
      <c r="E6" s="24" t="s">
        <v>186</v>
      </c>
      <c r="F6" s="115"/>
      <c r="G6" s="114"/>
      <c r="H6" s="118"/>
    </row>
    <row r="7" spans="1:8" s="71" customFormat="1" ht="15.6" x14ac:dyDescent="0.3">
      <c r="A7" s="24">
        <v>5</v>
      </c>
      <c r="B7" s="78" t="s">
        <v>327</v>
      </c>
      <c r="C7" s="78">
        <v>20160707292</v>
      </c>
      <c r="D7" s="24" t="s">
        <v>24</v>
      </c>
      <c r="E7" s="24" t="s">
        <v>186</v>
      </c>
      <c r="F7" s="116" t="s">
        <v>385</v>
      </c>
      <c r="G7" s="114"/>
      <c r="H7" s="118"/>
    </row>
    <row r="8" spans="1:8" s="71" customFormat="1" ht="15.6" x14ac:dyDescent="0.3">
      <c r="A8" s="24">
        <v>6</v>
      </c>
      <c r="B8" s="24" t="s">
        <v>238</v>
      </c>
      <c r="C8" s="79">
        <v>20160707309</v>
      </c>
      <c r="D8" s="24" t="s">
        <v>24</v>
      </c>
      <c r="E8" s="78" t="s">
        <v>260</v>
      </c>
      <c r="F8" s="116"/>
      <c r="G8" s="114"/>
      <c r="H8" s="118"/>
    </row>
    <row r="9" spans="1:8" s="71" customFormat="1" ht="15.6" x14ac:dyDescent="0.3">
      <c r="A9" s="24">
        <v>7</v>
      </c>
      <c r="B9" s="78" t="s">
        <v>360</v>
      </c>
      <c r="C9" s="78">
        <v>20190112989</v>
      </c>
      <c r="D9" s="24" t="s">
        <v>24</v>
      </c>
      <c r="E9" s="78" t="s">
        <v>361</v>
      </c>
      <c r="F9" s="9" t="s">
        <v>386</v>
      </c>
      <c r="G9" s="114"/>
      <c r="H9" s="118"/>
    </row>
    <row r="10" spans="1:8" s="71" customFormat="1" ht="15.6" x14ac:dyDescent="0.3">
      <c r="A10" s="24">
        <v>8</v>
      </c>
      <c r="B10" s="78" t="s">
        <v>328</v>
      </c>
      <c r="C10" s="78">
        <v>20160707296</v>
      </c>
      <c r="D10" s="73" t="s">
        <v>24</v>
      </c>
      <c r="E10" s="38" t="s">
        <v>186</v>
      </c>
      <c r="F10" s="24" t="s">
        <v>388</v>
      </c>
      <c r="G10" s="114"/>
      <c r="H10" s="118"/>
    </row>
    <row r="11" spans="1:8" s="71" customFormat="1" ht="15.6" x14ac:dyDescent="0.3">
      <c r="A11" s="24">
        <v>9</v>
      </c>
      <c r="B11" s="73" t="s">
        <v>196</v>
      </c>
      <c r="C11" s="76">
        <v>20170709551</v>
      </c>
      <c r="D11" s="9" t="s">
        <v>24</v>
      </c>
      <c r="E11" s="38" t="s">
        <v>197</v>
      </c>
      <c r="F11" s="116" t="s">
        <v>387</v>
      </c>
      <c r="G11" s="114"/>
      <c r="H11" s="118"/>
    </row>
    <row r="12" spans="1:8" s="71" customFormat="1" ht="15.6" x14ac:dyDescent="0.3">
      <c r="A12" s="24">
        <v>10</v>
      </c>
      <c r="B12" s="78" t="s">
        <v>329</v>
      </c>
      <c r="C12" s="80">
        <v>20170107957</v>
      </c>
      <c r="D12" s="73" t="s">
        <v>24</v>
      </c>
      <c r="E12" s="78" t="s">
        <v>233</v>
      </c>
      <c r="F12" s="116"/>
      <c r="G12" s="114"/>
      <c r="H12" s="118"/>
    </row>
    <row r="13" spans="1:8" s="71" customFormat="1" ht="15.6" x14ac:dyDescent="0.3">
      <c r="A13" s="24">
        <v>11</v>
      </c>
      <c r="B13" s="78" t="s">
        <v>330</v>
      </c>
      <c r="C13" s="80">
        <v>20140103215</v>
      </c>
      <c r="D13" s="78" t="s">
        <v>161</v>
      </c>
      <c r="E13" s="78" t="s">
        <v>234</v>
      </c>
      <c r="F13" s="116"/>
      <c r="G13" s="114"/>
      <c r="H13" s="118"/>
    </row>
    <row r="14" spans="1:8" s="71" customFormat="1" ht="15.6" x14ac:dyDescent="0.3">
      <c r="A14" s="24">
        <v>12</v>
      </c>
      <c r="B14" s="9" t="s">
        <v>243</v>
      </c>
      <c r="C14" s="76">
        <v>20180111350</v>
      </c>
      <c r="D14" s="9" t="s">
        <v>24</v>
      </c>
      <c r="E14" s="9" t="s">
        <v>244</v>
      </c>
      <c r="F14" s="73" t="s">
        <v>389</v>
      </c>
      <c r="G14" s="114"/>
      <c r="H14" s="118"/>
    </row>
    <row r="15" spans="1:8" s="71" customFormat="1" ht="15.6" x14ac:dyDescent="0.3">
      <c r="A15" s="24">
        <v>13</v>
      </c>
      <c r="B15" s="78" t="s">
        <v>321</v>
      </c>
      <c r="C15" s="78">
        <v>20190113001</v>
      </c>
      <c r="D15" s="24" t="s">
        <v>24</v>
      </c>
      <c r="E15" s="24" t="s">
        <v>20</v>
      </c>
      <c r="F15" s="116" t="s">
        <v>382</v>
      </c>
      <c r="G15" s="114"/>
      <c r="H15" s="114" t="s">
        <v>375</v>
      </c>
    </row>
    <row r="16" spans="1:8" s="71" customFormat="1" ht="15.6" x14ac:dyDescent="0.3">
      <c r="A16" s="24">
        <v>14</v>
      </c>
      <c r="B16" s="38" t="s">
        <v>322</v>
      </c>
      <c r="C16" s="78">
        <v>20150105123</v>
      </c>
      <c r="D16" s="78" t="s">
        <v>161</v>
      </c>
      <c r="E16" s="24" t="s">
        <v>20</v>
      </c>
      <c r="F16" s="116"/>
      <c r="G16" s="114"/>
      <c r="H16" s="114"/>
    </row>
    <row r="17" spans="1:8" s="71" customFormat="1" ht="15.6" x14ac:dyDescent="0.3">
      <c r="A17" s="24">
        <v>15</v>
      </c>
      <c r="B17" s="78" t="s">
        <v>323</v>
      </c>
      <c r="C17" s="78">
        <v>20190112980</v>
      </c>
      <c r="D17" s="24" t="s">
        <v>24</v>
      </c>
      <c r="E17" s="24" t="s">
        <v>193</v>
      </c>
      <c r="F17" s="117" t="s">
        <v>383</v>
      </c>
      <c r="G17" s="114"/>
      <c r="H17" s="114"/>
    </row>
    <row r="18" spans="1:8" ht="15.6" x14ac:dyDescent="0.3">
      <c r="A18" s="24">
        <v>16</v>
      </c>
      <c r="B18" s="78" t="s">
        <v>325</v>
      </c>
      <c r="C18" s="78">
        <v>20180111330</v>
      </c>
      <c r="D18" s="9" t="s">
        <v>24</v>
      </c>
      <c r="E18" s="73" t="s">
        <v>200</v>
      </c>
      <c r="F18" s="117"/>
      <c r="G18" s="114"/>
      <c r="H18" s="114"/>
    </row>
    <row r="19" spans="1:8" s="71" customFormat="1" ht="15.6" x14ac:dyDescent="0.3">
      <c r="A19" s="24">
        <v>17</v>
      </c>
      <c r="B19" s="81" t="s">
        <v>363</v>
      </c>
      <c r="C19" s="81">
        <v>20170107953</v>
      </c>
      <c r="D19" s="24" t="s">
        <v>24</v>
      </c>
      <c r="E19" s="26" t="s">
        <v>193</v>
      </c>
      <c r="F19" s="117"/>
      <c r="G19" s="114"/>
      <c r="H19" s="114"/>
    </row>
    <row r="20" spans="1:8" s="71" customFormat="1" ht="15.6" x14ac:dyDescent="0.3">
      <c r="A20" s="24">
        <v>18</v>
      </c>
      <c r="B20" s="78" t="s">
        <v>326</v>
      </c>
      <c r="C20" s="78">
        <v>20170709519</v>
      </c>
      <c r="D20" s="24" t="s">
        <v>24</v>
      </c>
      <c r="E20" s="24" t="s">
        <v>193</v>
      </c>
      <c r="F20" s="116" t="s">
        <v>385</v>
      </c>
      <c r="G20" s="114"/>
      <c r="H20" s="114"/>
    </row>
    <row r="21" spans="1:8" ht="15.6" x14ac:dyDescent="0.3">
      <c r="A21" s="24">
        <v>19</v>
      </c>
      <c r="B21" s="9" t="s">
        <v>236</v>
      </c>
      <c r="C21" s="76">
        <v>20170709550</v>
      </c>
      <c r="D21" s="9" t="s">
        <v>24</v>
      </c>
      <c r="E21" s="9" t="s">
        <v>237</v>
      </c>
      <c r="F21" s="116"/>
      <c r="G21" s="114"/>
      <c r="H21" s="114"/>
    </row>
    <row r="22" spans="1:8" s="71" customFormat="1" ht="31.2" x14ac:dyDescent="0.3">
      <c r="A22" s="24">
        <v>20</v>
      </c>
      <c r="B22" s="46" t="s">
        <v>364</v>
      </c>
      <c r="C22" s="82">
        <v>20170107936</v>
      </c>
      <c r="D22" s="24" t="s">
        <v>24</v>
      </c>
      <c r="E22" s="24" t="s">
        <v>75</v>
      </c>
      <c r="F22" s="116"/>
      <c r="G22" s="114"/>
      <c r="H22" s="114"/>
    </row>
    <row r="23" spans="1:8" ht="15.6" x14ac:dyDescent="0.3">
      <c r="A23" s="24">
        <v>21</v>
      </c>
      <c r="B23" s="78" t="s">
        <v>331</v>
      </c>
      <c r="C23" s="80">
        <v>20180111332</v>
      </c>
      <c r="D23" s="9" t="s">
        <v>24</v>
      </c>
      <c r="E23" s="78" t="s">
        <v>228</v>
      </c>
      <c r="F23" s="73" t="s">
        <v>386</v>
      </c>
      <c r="G23" s="114"/>
      <c r="H23" s="114"/>
    </row>
    <row r="24" spans="1:8" ht="15.6" x14ac:dyDescent="0.3">
      <c r="A24" s="24">
        <v>22</v>
      </c>
      <c r="B24" s="78" t="s">
        <v>229</v>
      </c>
      <c r="C24" s="80">
        <v>20140103223</v>
      </c>
      <c r="D24" s="78" t="s">
        <v>161</v>
      </c>
      <c r="E24" s="9" t="s">
        <v>20</v>
      </c>
      <c r="F24" s="117" t="s">
        <v>388</v>
      </c>
      <c r="G24" s="114"/>
      <c r="H24" s="114"/>
    </row>
    <row r="25" spans="1:8" ht="15.6" x14ac:dyDescent="0.3">
      <c r="A25" s="24">
        <v>23</v>
      </c>
      <c r="B25" s="78" t="s">
        <v>88</v>
      </c>
      <c r="C25" s="80">
        <v>20170107840</v>
      </c>
      <c r="D25" s="73" t="s">
        <v>24</v>
      </c>
      <c r="E25" s="9" t="s">
        <v>228</v>
      </c>
      <c r="F25" s="117"/>
      <c r="G25" s="114"/>
      <c r="H25" s="114"/>
    </row>
    <row r="26" spans="1:8" ht="15.6" x14ac:dyDescent="0.3">
      <c r="A26" s="24">
        <v>24</v>
      </c>
      <c r="B26" s="78" t="s">
        <v>357</v>
      </c>
      <c r="C26" s="80">
        <v>20170108492</v>
      </c>
      <c r="D26" s="73" t="s">
        <v>24</v>
      </c>
      <c r="E26" s="9" t="s">
        <v>358</v>
      </c>
      <c r="F26" s="117"/>
      <c r="G26" s="114"/>
      <c r="H26" s="114"/>
    </row>
    <row r="27" spans="1:8" ht="15.6" x14ac:dyDescent="0.3">
      <c r="A27" s="24">
        <v>25</v>
      </c>
      <c r="B27" s="73" t="s">
        <v>89</v>
      </c>
      <c r="C27" s="76">
        <v>20170709559</v>
      </c>
      <c r="D27" s="73" t="s">
        <v>24</v>
      </c>
      <c r="E27" s="73" t="s">
        <v>241</v>
      </c>
      <c r="F27" s="116" t="s">
        <v>390</v>
      </c>
      <c r="G27" s="114"/>
      <c r="H27" s="114"/>
    </row>
    <row r="28" spans="1:8" ht="15.6" x14ac:dyDescent="0.3">
      <c r="A28" s="24">
        <v>26</v>
      </c>
      <c r="B28" s="9" t="s">
        <v>249</v>
      </c>
      <c r="C28" s="76">
        <v>20190112882</v>
      </c>
      <c r="D28" s="9" t="s">
        <v>24</v>
      </c>
      <c r="E28" s="73" t="s">
        <v>250</v>
      </c>
      <c r="F28" s="116"/>
      <c r="G28" s="114"/>
      <c r="H28" s="114"/>
    </row>
    <row r="29" spans="1:8" ht="15.6" x14ac:dyDescent="0.3">
      <c r="A29" s="24">
        <v>27</v>
      </c>
      <c r="B29" s="78" t="s">
        <v>337</v>
      </c>
      <c r="C29" s="80">
        <v>20190112995</v>
      </c>
      <c r="D29" s="9" t="s">
        <v>24</v>
      </c>
      <c r="E29" s="78" t="s">
        <v>195</v>
      </c>
      <c r="F29" s="78" t="s">
        <v>387</v>
      </c>
      <c r="G29" s="114"/>
      <c r="H29" s="114"/>
    </row>
    <row r="30" spans="1:8" ht="15.6" x14ac:dyDescent="0.3">
      <c r="A30" s="24">
        <v>28</v>
      </c>
      <c r="B30" s="78" t="s">
        <v>173</v>
      </c>
      <c r="C30" s="80">
        <v>20180711994</v>
      </c>
      <c r="D30" s="9" t="s">
        <v>24</v>
      </c>
      <c r="E30" s="73" t="s">
        <v>239</v>
      </c>
      <c r="F30" s="116" t="s">
        <v>391</v>
      </c>
      <c r="G30" s="114"/>
      <c r="H30" s="114"/>
    </row>
    <row r="31" spans="1:8" ht="15.6" x14ac:dyDescent="0.3">
      <c r="A31" s="24">
        <v>29</v>
      </c>
      <c r="B31" s="73" t="s">
        <v>206</v>
      </c>
      <c r="C31" s="80">
        <v>20140703222</v>
      </c>
      <c r="D31" s="9" t="s">
        <v>240</v>
      </c>
      <c r="E31" s="73" t="s">
        <v>20</v>
      </c>
      <c r="F31" s="116"/>
      <c r="G31" s="114"/>
      <c r="H31" s="114"/>
    </row>
    <row r="32" spans="1:8" ht="15.6" x14ac:dyDescent="0.3">
      <c r="A32" s="24">
        <v>30</v>
      </c>
      <c r="B32" s="9" t="s">
        <v>242</v>
      </c>
      <c r="C32" s="76">
        <v>20150105136</v>
      </c>
      <c r="D32" s="9" t="s">
        <v>161</v>
      </c>
      <c r="E32" s="9" t="s">
        <v>193</v>
      </c>
      <c r="F32" s="117" t="s">
        <v>389</v>
      </c>
      <c r="G32" s="114"/>
      <c r="H32" s="114"/>
    </row>
    <row r="33" spans="1:13" ht="15.6" x14ac:dyDescent="0.3">
      <c r="A33" s="24">
        <v>31</v>
      </c>
      <c r="B33" s="9" t="s">
        <v>103</v>
      </c>
      <c r="C33" s="76">
        <v>20130101257</v>
      </c>
      <c r="D33" s="9" t="s">
        <v>161</v>
      </c>
      <c r="E33" s="9" t="s">
        <v>20</v>
      </c>
      <c r="F33" s="117"/>
      <c r="G33" s="114"/>
      <c r="H33" s="114"/>
    </row>
    <row r="34" spans="1:13" ht="15.6" x14ac:dyDescent="0.3">
      <c r="A34" s="24">
        <v>32</v>
      </c>
      <c r="B34" s="9" t="s">
        <v>245</v>
      </c>
      <c r="C34" s="76">
        <v>20180111331</v>
      </c>
      <c r="D34" s="9" t="s">
        <v>24</v>
      </c>
      <c r="E34" s="73" t="s">
        <v>246</v>
      </c>
      <c r="F34" s="117"/>
      <c r="G34" s="114"/>
      <c r="H34" s="114"/>
    </row>
    <row r="35" spans="1:13" ht="15.6" x14ac:dyDescent="0.3">
      <c r="A35" s="24">
        <v>33</v>
      </c>
      <c r="B35" s="9" t="s">
        <v>247</v>
      </c>
      <c r="C35" s="76">
        <v>20180711999</v>
      </c>
      <c r="D35" s="9" t="s">
        <v>24</v>
      </c>
      <c r="E35" s="9" t="s">
        <v>248</v>
      </c>
      <c r="F35" s="117"/>
      <c r="G35" s="114"/>
      <c r="H35" s="114"/>
    </row>
    <row r="36" spans="1:13" ht="15.6" x14ac:dyDescent="0.3">
      <c r="A36" s="24">
        <v>34</v>
      </c>
      <c r="B36" s="78" t="s">
        <v>336</v>
      </c>
      <c r="C36" s="80">
        <v>20190112991</v>
      </c>
      <c r="D36" s="9" t="s">
        <v>24</v>
      </c>
      <c r="E36" s="9" t="s">
        <v>200</v>
      </c>
      <c r="F36" s="117"/>
      <c r="G36" s="114"/>
      <c r="H36" s="114"/>
      <c r="M36" s="77"/>
    </row>
    <row r="37" spans="1:13" ht="15.6" x14ac:dyDescent="0.3">
      <c r="A37" s="9">
        <v>1</v>
      </c>
      <c r="B37" s="78" t="s">
        <v>251</v>
      </c>
      <c r="C37" s="78">
        <v>201101130</v>
      </c>
      <c r="D37" s="9" t="s">
        <v>33</v>
      </c>
      <c r="E37" s="9" t="s">
        <v>193</v>
      </c>
      <c r="F37" s="117" t="s">
        <v>392</v>
      </c>
      <c r="G37" s="118" t="s">
        <v>394</v>
      </c>
      <c r="H37" s="118" t="s">
        <v>395</v>
      </c>
      <c r="M37" s="77"/>
    </row>
    <row r="38" spans="1:13" ht="15.6" x14ac:dyDescent="0.3">
      <c r="A38" s="9">
        <v>2</v>
      </c>
      <c r="B38" s="78" t="s">
        <v>332</v>
      </c>
      <c r="C38" s="78">
        <v>20170709561</v>
      </c>
      <c r="D38" s="9" t="s">
        <v>24</v>
      </c>
      <c r="E38" s="9" t="s">
        <v>252</v>
      </c>
      <c r="F38" s="117"/>
      <c r="G38" s="118"/>
      <c r="H38" s="118"/>
      <c r="M38" s="77"/>
    </row>
    <row r="39" spans="1:13" ht="15.6" x14ac:dyDescent="0.3">
      <c r="A39" s="9">
        <v>3</v>
      </c>
      <c r="B39" s="78" t="s">
        <v>253</v>
      </c>
      <c r="C39" s="78">
        <v>200601121</v>
      </c>
      <c r="D39" s="9" t="s">
        <v>254</v>
      </c>
      <c r="E39" s="9" t="s">
        <v>193</v>
      </c>
      <c r="F39" s="117"/>
      <c r="G39" s="118"/>
      <c r="H39" s="118"/>
      <c r="M39" s="77"/>
    </row>
    <row r="40" spans="1:13" ht="15.6" x14ac:dyDescent="0.3">
      <c r="A40" s="9">
        <v>1</v>
      </c>
      <c r="B40" s="73" t="s">
        <v>309</v>
      </c>
      <c r="C40" s="76">
        <v>201201062</v>
      </c>
      <c r="D40" s="9" t="s">
        <v>310</v>
      </c>
      <c r="E40" s="73" t="s">
        <v>311</v>
      </c>
      <c r="F40" s="73" t="s">
        <v>308</v>
      </c>
      <c r="G40" s="118"/>
      <c r="H40" s="118"/>
      <c r="M40" s="77"/>
    </row>
    <row r="41" spans="1:13" ht="15.6" x14ac:dyDescent="0.3">
      <c r="A41" s="9">
        <v>1</v>
      </c>
      <c r="B41" s="73" t="s">
        <v>313</v>
      </c>
      <c r="C41" s="76">
        <v>201201059</v>
      </c>
      <c r="D41" s="78" t="s">
        <v>339</v>
      </c>
      <c r="E41" s="73" t="s">
        <v>193</v>
      </c>
      <c r="F41" s="73" t="s">
        <v>312</v>
      </c>
      <c r="G41" s="118"/>
      <c r="H41" s="118"/>
      <c r="M41" s="77"/>
    </row>
    <row r="42" spans="1:13" ht="15.6" x14ac:dyDescent="0.3">
      <c r="A42" s="9">
        <v>1</v>
      </c>
      <c r="B42" s="73" t="s">
        <v>317</v>
      </c>
      <c r="C42" s="76">
        <v>20160106511</v>
      </c>
      <c r="D42" s="78" t="s">
        <v>161</v>
      </c>
      <c r="E42" s="73" t="s">
        <v>193</v>
      </c>
      <c r="F42" s="116" t="s">
        <v>393</v>
      </c>
      <c r="G42" s="118"/>
      <c r="H42" s="118"/>
      <c r="M42" s="77"/>
    </row>
    <row r="43" spans="1:13" ht="15.6" x14ac:dyDescent="0.3">
      <c r="A43" s="9">
        <v>2</v>
      </c>
      <c r="B43" s="78" t="s">
        <v>378</v>
      </c>
      <c r="C43" s="78">
        <v>20170709545</v>
      </c>
      <c r="D43" s="10" t="s">
        <v>24</v>
      </c>
      <c r="E43" s="78" t="s">
        <v>20</v>
      </c>
      <c r="F43" s="116"/>
      <c r="G43" s="118"/>
      <c r="H43" s="118"/>
      <c r="M43" s="77"/>
    </row>
    <row r="44" spans="1:13" ht="15.6" x14ac:dyDescent="0.3">
      <c r="A44" s="9">
        <v>1</v>
      </c>
      <c r="B44" s="78" t="s">
        <v>379</v>
      </c>
      <c r="C44" s="78">
        <v>201101113</v>
      </c>
      <c r="D44" s="9" t="s">
        <v>380</v>
      </c>
      <c r="E44" s="73" t="s">
        <v>20</v>
      </c>
      <c r="F44" s="73" t="s">
        <v>342</v>
      </c>
      <c r="G44" s="118"/>
      <c r="H44" s="118"/>
      <c r="M44" s="77"/>
    </row>
    <row r="45" spans="1:13" ht="15.6" x14ac:dyDescent="0.3">
      <c r="A45" s="9"/>
      <c r="B45" s="9"/>
      <c r="C45" s="9"/>
      <c r="D45" s="9"/>
      <c r="E45" s="9"/>
      <c r="F45" s="9"/>
      <c r="G45" s="9"/>
      <c r="H45" s="9"/>
    </row>
    <row r="46" spans="1:13" ht="15.6" x14ac:dyDescent="0.3">
      <c r="A46" s="9"/>
      <c r="B46" s="72" t="s">
        <v>397</v>
      </c>
      <c r="C46" s="72"/>
      <c r="D46" s="72"/>
      <c r="E46" s="72"/>
      <c r="F46" s="72"/>
      <c r="G46" s="9"/>
      <c r="H46" s="9"/>
    </row>
    <row r="47" spans="1:13" x14ac:dyDescent="0.25">
      <c r="A47" s="70"/>
      <c r="B47" s="70"/>
      <c r="C47" s="70"/>
      <c r="D47" s="70"/>
      <c r="E47" s="70"/>
      <c r="F47" s="70"/>
      <c r="G47" s="70"/>
      <c r="H47" s="70"/>
    </row>
    <row r="48" spans="1:13" x14ac:dyDescent="0.25">
      <c r="A48" s="70"/>
      <c r="B48" s="70"/>
      <c r="C48" s="70"/>
      <c r="D48" s="70"/>
      <c r="E48" s="70"/>
      <c r="F48" s="70"/>
      <c r="G48" s="70"/>
      <c r="H48" s="70"/>
    </row>
  </sheetData>
  <mergeCells count="18">
    <mergeCell ref="H37:H44"/>
    <mergeCell ref="G37:G44"/>
    <mergeCell ref="F37:F39"/>
    <mergeCell ref="H3:H14"/>
    <mergeCell ref="H15:H36"/>
    <mergeCell ref="F42:F43"/>
    <mergeCell ref="F24:F26"/>
    <mergeCell ref="F27:F28"/>
    <mergeCell ref="F30:F31"/>
    <mergeCell ref="F32:F36"/>
    <mergeCell ref="A1:H1"/>
    <mergeCell ref="G3:G36"/>
    <mergeCell ref="F5:F6"/>
    <mergeCell ref="F7:F8"/>
    <mergeCell ref="F11:F13"/>
    <mergeCell ref="F15:F16"/>
    <mergeCell ref="F17:F19"/>
    <mergeCell ref="F20:F22"/>
  </mergeCells>
  <pageMargins left="0.25" right="0" top="0.75" bottom="0.2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compilation</vt:lpstr>
      <vt:lpstr>senority</vt:lpstr>
      <vt:lpstr>Short list</vt:lpstr>
      <vt:lpstr>Sheet1</vt:lpstr>
      <vt:lpstr>shortlist</vt:lpstr>
      <vt:lpstr>July intake 2020</vt:lpstr>
      <vt:lpstr>Shortlist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sonamt</dc:creator>
  <cp:lastModifiedBy>dell</cp:lastModifiedBy>
  <cp:lastPrinted>2020-06-11T08:52:48Z</cp:lastPrinted>
  <dcterms:created xsi:type="dcterms:W3CDTF">2018-03-12T05:48:53Z</dcterms:created>
  <dcterms:modified xsi:type="dcterms:W3CDTF">2020-06-22T11:26:31Z</dcterms:modified>
</cp:coreProperties>
</file>